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externalLinks/externalLink7.xml" ContentType="application/vnd.openxmlformats-officedocument.spreadsheetml.externalLink+xml"/>
  <Override PartName="/xl/externalLinks/externalLink1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0.xml" ContentType="application/vnd.openxmlformats-officedocument.spreadsheetml.externalLink+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externalLinks/externalLink8.xml" ContentType="application/vnd.openxmlformats-officedocument.spreadsheetml.externalLink+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externalLinks/externalLink6.xml" ContentType="application/vnd.openxmlformats-officedocument.spreadsheetml.externalLink+xml"/>
  <Override PartName="/xl/externalLinks/externalLink17.xml" ContentType="application/vnd.openxmlformats-officedocument.spreadsheetml.externalLink+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0" yWindow="-120" windowWidth="19440" windowHeight="11640" tabRatio="857" firstSheet="14" activeTab="14"/>
  </bookViews>
  <sheets>
    <sheet name="Index" sheetId="44" r:id="rId1"/>
    <sheet name="F1 " sheetId="2" r:id="rId2"/>
    <sheet name="F2" sheetId="79" r:id="rId3"/>
    <sheet name="F2.1" sheetId="80" r:id="rId4"/>
    <sheet name="F2.2" sheetId="81" r:id="rId5"/>
    <sheet name="F2.3" sheetId="82" r:id="rId6"/>
    <sheet name="F2.4" sheetId="83" r:id="rId7"/>
    <sheet name="F 2A" sheetId="96" r:id="rId8"/>
    <sheet name="TB22-23" sheetId="106" state="hidden" r:id="rId9"/>
    <sheet name="TB23-24" sheetId="107" state="hidden" r:id="rId10"/>
    <sheet name="TB24-25_sept24" sheetId="108" state="hidden" r:id="rId11"/>
    <sheet name="F3" sheetId="87" r:id="rId12"/>
    <sheet name="F3.1" sheetId="88" r:id="rId13"/>
    <sheet name="F3.2" sheetId="89" r:id="rId14"/>
    <sheet name="F3.3" sheetId="90" r:id="rId15"/>
    <sheet name="F4" sheetId="64" r:id="rId16"/>
    <sheet name="F4.1 (E) Existing" sheetId="98" r:id="rId17"/>
    <sheet name="F4.1 (N) New" sheetId="99" r:id="rId18"/>
    <sheet name="F5" sheetId="58" r:id="rId19"/>
    <sheet name="F7" sheetId="75" r:id="rId20"/>
    <sheet name="F8" sheetId="105" r:id="rId21"/>
    <sheet name="F9" sheetId="3" r:id="rId22"/>
    <sheet name="F10" sheetId="14" r:id="rId23"/>
    <sheet name="F11" sheetId="84" r:id="rId24"/>
    <sheet name="F12" sheetId="85" r:id="rId25"/>
    <sheet name="F13" sheetId="86" r:id="rId26"/>
    <sheet name="F14" sheetId="76" r:id="rId27"/>
    <sheet name="F15" sheetId="92" r:id="rId28"/>
    <sheet name="F16" sheetId="94" r:id="rId29"/>
    <sheet name="F17" sheetId="95" r:id="rId30"/>
    <sheet name="F18" sheetId="100" r:id="rId31"/>
    <sheet name="F18.1" sheetId="101" r:id="rId32"/>
    <sheet name="F18.2" sheetId="102" r:id="rId33"/>
    <sheet name="F18.3" sheetId="103" r:id="rId34"/>
    <sheet name="F18.4" sheetId="104" r:id="rId35"/>
    <sheet name="F6" sheetId="77" r:id="rId36"/>
  </sheets>
  <externalReferences>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a" localSheetId="23">#REF!</definedName>
    <definedName name="\a" localSheetId="24">#REF!</definedName>
    <definedName name="\a" localSheetId="25">#REF!</definedName>
    <definedName name="\a" localSheetId="11">#REF!</definedName>
    <definedName name="\a" localSheetId="20">#REF!</definedName>
    <definedName name="\a">#REF!</definedName>
    <definedName name="\b" localSheetId="23">#REF!</definedName>
    <definedName name="\b" localSheetId="24">#REF!</definedName>
    <definedName name="\b" localSheetId="25">#REF!</definedName>
    <definedName name="\b" localSheetId="11">#REF!</definedName>
    <definedName name="\b">#REF!</definedName>
    <definedName name="\c" localSheetId="23">#REF!</definedName>
    <definedName name="\c" localSheetId="24">#REF!</definedName>
    <definedName name="\c" localSheetId="25">#REF!</definedName>
    <definedName name="\c" localSheetId="11">#REF!</definedName>
    <definedName name="\c">#REF!</definedName>
    <definedName name="\d" localSheetId="23">#REF!</definedName>
    <definedName name="\d" localSheetId="24">#REF!</definedName>
    <definedName name="\d" localSheetId="25">#REF!</definedName>
    <definedName name="\d" localSheetId="11">#REF!</definedName>
    <definedName name="\d">#REF!</definedName>
    <definedName name="\e" localSheetId="23">#REF!</definedName>
    <definedName name="\e" localSheetId="24">#REF!</definedName>
    <definedName name="\e" localSheetId="25">#REF!</definedName>
    <definedName name="\e" localSheetId="11">#REF!</definedName>
    <definedName name="\e">#REF!</definedName>
    <definedName name="\f" localSheetId="23">#REF!</definedName>
    <definedName name="\f" localSheetId="24">#REF!</definedName>
    <definedName name="\f" localSheetId="25">#REF!</definedName>
    <definedName name="\f" localSheetId="11">#REF!</definedName>
    <definedName name="\f">#REF!</definedName>
    <definedName name="\g" localSheetId="23">#REF!</definedName>
    <definedName name="\g" localSheetId="24">#REF!</definedName>
    <definedName name="\g" localSheetId="25">#REF!</definedName>
    <definedName name="\g" localSheetId="11">#REF!</definedName>
    <definedName name="\g">#REF!</definedName>
    <definedName name="\j" localSheetId="23">#REF!</definedName>
    <definedName name="\j" localSheetId="24">#REF!</definedName>
    <definedName name="\j" localSheetId="25">#REF!</definedName>
    <definedName name="\j" localSheetId="11">#REF!</definedName>
    <definedName name="\j">#REF!</definedName>
    <definedName name="\k" localSheetId="23">#REF!</definedName>
    <definedName name="\k" localSheetId="24">#REF!</definedName>
    <definedName name="\k" localSheetId="25">#REF!</definedName>
    <definedName name="\k" localSheetId="11">#REF!</definedName>
    <definedName name="\k">#REF!</definedName>
    <definedName name="\m" localSheetId="23">#REF!</definedName>
    <definedName name="\m" localSheetId="24">#REF!</definedName>
    <definedName name="\m" localSheetId="25">#REF!</definedName>
    <definedName name="\m" localSheetId="11">#REF!</definedName>
    <definedName name="\m">#REF!</definedName>
    <definedName name="\n" localSheetId="23">#REF!</definedName>
    <definedName name="\n" localSheetId="24">#REF!</definedName>
    <definedName name="\n" localSheetId="25">#REF!</definedName>
    <definedName name="\n" localSheetId="11">#REF!</definedName>
    <definedName name="\n">#REF!</definedName>
    <definedName name="\o" localSheetId="23">#REF!</definedName>
    <definedName name="\o" localSheetId="24">#REF!</definedName>
    <definedName name="\o" localSheetId="25">#REF!</definedName>
    <definedName name="\o" localSheetId="11">#REF!</definedName>
    <definedName name="\o">#REF!</definedName>
    <definedName name="\p" localSheetId="23">#REF!</definedName>
    <definedName name="\p" localSheetId="24">#REF!</definedName>
    <definedName name="\p" localSheetId="25">#REF!</definedName>
    <definedName name="\p" localSheetId="11">#REF!</definedName>
    <definedName name="\p">#REF!</definedName>
    <definedName name="\s" localSheetId="23">#REF!</definedName>
    <definedName name="\s" localSheetId="24">#REF!</definedName>
    <definedName name="\s" localSheetId="25">#REF!</definedName>
    <definedName name="\s" localSheetId="11">#REF!</definedName>
    <definedName name="\s">#REF!</definedName>
    <definedName name="\t" localSheetId="23">#REF!</definedName>
    <definedName name="\t" localSheetId="24">#REF!</definedName>
    <definedName name="\t" localSheetId="25">#REF!</definedName>
    <definedName name="\t" localSheetId="11">#REF!</definedName>
    <definedName name="\t">#REF!</definedName>
    <definedName name="\w" localSheetId="23">#REF!</definedName>
    <definedName name="\w" localSheetId="24">#REF!</definedName>
    <definedName name="\w" localSheetId="25">#REF!</definedName>
    <definedName name="\w" localSheetId="11">#REF!</definedName>
    <definedName name="\w">#REF!</definedName>
    <definedName name="\x" localSheetId="23">#REF!</definedName>
    <definedName name="\x" localSheetId="24">#REF!</definedName>
    <definedName name="\x" localSheetId="25">#REF!</definedName>
    <definedName name="\x" localSheetId="11">#REF!</definedName>
    <definedName name="\x">#REF!</definedName>
    <definedName name="\z" localSheetId="23">#REF!</definedName>
    <definedName name="\z" localSheetId="24">#REF!</definedName>
    <definedName name="\z" localSheetId="25">#REF!</definedName>
    <definedName name="\z" localSheetId="11">#REF!</definedName>
    <definedName name="\z">#REF!</definedName>
    <definedName name="_" localSheetId="23">#REF!</definedName>
    <definedName name="_" localSheetId="24">#REF!</definedName>
    <definedName name="_" localSheetId="25">#REF!</definedName>
    <definedName name="_" localSheetId="11">#REF!</definedName>
    <definedName name="_">#REF!</definedName>
    <definedName name="_.._D__D__D__D_" localSheetId="23">#REF!</definedName>
    <definedName name="_.._D__D__D__D_" localSheetId="24">#REF!</definedName>
    <definedName name="_.._D__D__D__D_" localSheetId="25">#REF!</definedName>
    <definedName name="_.._D__D__D__D_" localSheetId="11">#REF!</definedName>
    <definedName name="_.._D__D__D__D_">#REF!</definedName>
    <definedName name="_________XL__ENTER_UNIT" localSheetId="23">#REF!</definedName>
    <definedName name="_________XL__ENTER_UNIT" localSheetId="24">#REF!</definedName>
    <definedName name="_________XL__ENTER_UNIT" localSheetId="25">#REF!</definedName>
    <definedName name="_________XL__ENTER_UNIT" localSheetId="11">#REF!</definedName>
    <definedName name="_________XL__ENTER_UNIT">#REF!</definedName>
    <definedName name="_______SCH6" localSheetId="11">'[1]04REL'!#REF!</definedName>
    <definedName name="_______SCH6">'[1]04REL'!#REF!</definedName>
    <definedName name="_______XL__ENTER_UNIT" localSheetId="23">#REF!</definedName>
    <definedName name="_______XL__ENTER_UNIT" localSheetId="24">#REF!</definedName>
    <definedName name="_______XL__ENTER_UNIT" localSheetId="25">#REF!</definedName>
    <definedName name="_______XL__ENTER_UNIT" localSheetId="11">#REF!</definedName>
    <definedName name="_______XL__ENTER_UNIT" localSheetId="20">#REF!</definedName>
    <definedName name="_______XL__ENTER_UNIT">#REF!</definedName>
    <definedName name="______SCH6" localSheetId="11">'[1]04REL'!#REF!</definedName>
    <definedName name="______SCH6" localSheetId="20">'[1]04REL'!#REF!</definedName>
    <definedName name="______SCH6">'[1]04REL'!#REF!</definedName>
    <definedName name="______XL__ENTER_UNIT" localSheetId="23">#REF!</definedName>
    <definedName name="______XL__ENTER_UNIT" localSheetId="24">#REF!</definedName>
    <definedName name="______XL__ENTER_UNIT" localSheetId="25">#REF!</definedName>
    <definedName name="______XL__ENTER_UNIT" localSheetId="11">#REF!</definedName>
    <definedName name="______XL__ENTER_UNIT" localSheetId="20">#REF!</definedName>
    <definedName name="______XL__ENTER_UNIT">#REF!</definedName>
    <definedName name="_____SCH6" localSheetId="11">'[1]04REL'!#REF!</definedName>
    <definedName name="_____SCH6" localSheetId="20">'[1]04REL'!#REF!</definedName>
    <definedName name="_____SCH6">'[1]04REL'!#REF!</definedName>
    <definedName name="____SCH6" localSheetId="11">'[1]04REL'!#REF!</definedName>
    <definedName name="____SCH6">'[1]04REL'!#REF!</definedName>
    <definedName name="____XL__ENTER_UNIT" localSheetId="23">#REF!</definedName>
    <definedName name="____XL__ENTER_UNIT" localSheetId="24">#REF!</definedName>
    <definedName name="____XL__ENTER_UNIT" localSheetId="25">#REF!</definedName>
    <definedName name="____XL__ENTER_UNIT" localSheetId="11">#REF!</definedName>
    <definedName name="____XL__ENTER_UNIT" localSheetId="20">#REF!</definedName>
    <definedName name="____XL__ENTER_UNIT">#REF!</definedName>
    <definedName name="___INDEX_SHEET___ASAP_Utilities" localSheetId="11">#REF!</definedName>
    <definedName name="___INDEX_SHEET___ASAP_Utilities">#REF!</definedName>
    <definedName name="___SCH6" localSheetId="11">'[1]04REL'!#REF!</definedName>
    <definedName name="___SCH6">'[1]04REL'!#REF!</definedName>
    <definedName name="___XL__ENTER_UNIT" localSheetId="23">#REF!</definedName>
    <definedName name="___XL__ENTER_UNIT" localSheetId="24">#REF!</definedName>
    <definedName name="___XL__ENTER_UNIT" localSheetId="25">#REF!</definedName>
    <definedName name="___XL__ENTER_UNIT" localSheetId="11">#REF!</definedName>
    <definedName name="___XL__ENTER_UNIT" localSheetId="20">#REF!</definedName>
    <definedName name="___XL__ENTER_UNIT">#REF!</definedName>
    <definedName name="__123Graph_A" localSheetId="23" hidden="1">[2]CE!#REF!</definedName>
    <definedName name="__123Graph_A" localSheetId="24" hidden="1">[2]CE!#REF!</definedName>
    <definedName name="__123Graph_A" localSheetId="25" hidden="1">[2]CE!#REF!</definedName>
    <definedName name="__123Graph_A" localSheetId="11" hidden="1">[2]CE!#REF!</definedName>
    <definedName name="__123Graph_A" hidden="1">[2]CE!#REF!</definedName>
    <definedName name="__123Graph_ASTNPLF" localSheetId="23" hidden="1">[2]CE!#REF!</definedName>
    <definedName name="__123Graph_ASTNPLF" localSheetId="24" hidden="1">[2]CE!#REF!</definedName>
    <definedName name="__123Graph_ASTNPLF" localSheetId="25" hidden="1">[2]CE!#REF!</definedName>
    <definedName name="__123Graph_ASTNPLF" localSheetId="11" hidden="1">[2]CE!#REF!</definedName>
    <definedName name="__123Graph_ASTNPLF" hidden="1">[2]CE!#REF!</definedName>
    <definedName name="__123Graph_B" localSheetId="23" hidden="1">[2]CE!#REF!</definedName>
    <definedName name="__123Graph_B" localSheetId="24" hidden="1">[2]CE!#REF!</definedName>
    <definedName name="__123Graph_B" localSheetId="25" hidden="1">[2]CE!#REF!</definedName>
    <definedName name="__123Graph_B" localSheetId="11" hidden="1">[2]CE!#REF!</definedName>
    <definedName name="__123Graph_B" hidden="1">[2]CE!#REF!</definedName>
    <definedName name="__123Graph_BSTNPLF" localSheetId="23" hidden="1">[2]CE!#REF!</definedName>
    <definedName name="__123Graph_BSTNPLF" localSheetId="24" hidden="1">[2]CE!#REF!</definedName>
    <definedName name="__123Graph_BSTNPLF" localSheetId="25" hidden="1">[2]CE!#REF!</definedName>
    <definedName name="__123Graph_BSTNPLF" localSheetId="11" hidden="1">[2]CE!#REF!</definedName>
    <definedName name="__123Graph_BSTNPLF" hidden="1">[2]CE!#REF!</definedName>
    <definedName name="__123Graph_C" localSheetId="23" hidden="1">[2]CE!#REF!</definedName>
    <definedName name="__123Graph_C" localSheetId="24" hidden="1">[2]CE!#REF!</definedName>
    <definedName name="__123Graph_C" localSheetId="25" hidden="1">[2]CE!#REF!</definedName>
    <definedName name="__123Graph_C" localSheetId="11" hidden="1">[2]CE!#REF!</definedName>
    <definedName name="__123Graph_C" hidden="1">[2]CE!#REF!</definedName>
    <definedName name="__123Graph_CSTNPLF" localSheetId="23" hidden="1">[2]CE!#REF!</definedName>
    <definedName name="__123Graph_CSTNPLF" localSheetId="24" hidden="1">[2]CE!#REF!</definedName>
    <definedName name="__123Graph_CSTNPLF" localSheetId="25" hidden="1">[2]CE!#REF!</definedName>
    <definedName name="__123Graph_CSTNPLF" localSheetId="11" hidden="1">[2]CE!#REF!</definedName>
    <definedName name="__123Graph_CSTNPLF" hidden="1">[2]CE!#REF!</definedName>
    <definedName name="__123Graph_X" localSheetId="23" hidden="1">[2]CE!#REF!</definedName>
    <definedName name="__123Graph_X" localSheetId="24" hidden="1">[2]CE!#REF!</definedName>
    <definedName name="__123Graph_X" localSheetId="25" hidden="1">[2]CE!#REF!</definedName>
    <definedName name="__123Graph_X" localSheetId="11" hidden="1">[2]CE!#REF!</definedName>
    <definedName name="__123Graph_X" hidden="1">[2]CE!#REF!</definedName>
    <definedName name="__123Graph_XSTNPLF" localSheetId="23" hidden="1">[2]CE!#REF!</definedName>
    <definedName name="__123Graph_XSTNPLF" localSheetId="24" hidden="1">[2]CE!#REF!</definedName>
    <definedName name="__123Graph_XSTNPLF" localSheetId="25" hidden="1">[2]CE!#REF!</definedName>
    <definedName name="__123Graph_XSTNPLF" localSheetId="11" hidden="1">[2]CE!#REF!</definedName>
    <definedName name="__123Graph_XSTNPLF" hidden="1">[2]CE!#REF!</definedName>
    <definedName name="__DOWN_10__GOTO" localSheetId="23">#REF!</definedName>
    <definedName name="__DOWN_10__GOTO" localSheetId="24">#REF!</definedName>
    <definedName name="__DOWN_10__GOTO" localSheetId="25">#REF!</definedName>
    <definedName name="__DOWN_10__GOTO" localSheetId="11">#REF!</definedName>
    <definedName name="__DOWN_10__GOTO" localSheetId="20">#REF!</definedName>
    <definedName name="__DOWN_10__GOTO">#REF!</definedName>
    <definedName name="__ES84__EW84_0." localSheetId="23">#REF!</definedName>
    <definedName name="__ES84__EW84_0." localSheetId="24">#REF!</definedName>
    <definedName name="__ES84__EW84_0." localSheetId="25">#REF!</definedName>
    <definedName name="__ES84__EW84_0." localSheetId="11">#REF!</definedName>
    <definedName name="__ES84__EW84_0.">#REF!</definedName>
    <definedName name="__GOTO_EP84__AV" localSheetId="23">#REF!</definedName>
    <definedName name="__GOTO_EP84__AV" localSheetId="24">#REF!</definedName>
    <definedName name="__GOTO_EP84__AV" localSheetId="25">#REF!</definedName>
    <definedName name="__GOTO_EP84__AV" localSheetId="11">#REF!</definedName>
    <definedName name="__GOTO_EP84__AV">#REF!</definedName>
    <definedName name="__SCH6" localSheetId="11">'[1]04REL'!#REF!</definedName>
    <definedName name="__SCH6">'[1]04REL'!#REF!</definedName>
    <definedName name="__SUM_CS57..CS6" localSheetId="23">#REF!</definedName>
    <definedName name="__SUM_CS57..CS6" localSheetId="24">#REF!</definedName>
    <definedName name="__SUM_CS57..CS6" localSheetId="25">#REF!</definedName>
    <definedName name="__SUM_CS57..CS6" localSheetId="11">#REF!</definedName>
    <definedName name="__SUM_CS57..CS6" localSheetId="20">#REF!</definedName>
    <definedName name="__SUM_CS57..CS6">#REF!</definedName>
    <definedName name="__SUM_CS65..CS7" localSheetId="23">#REF!</definedName>
    <definedName name="__SUM_CS65..CS7" localSheetId="24">#REF!</definedName>
    <definedName name="__SUM_CS65..CS7" localSheetId="25">#REF!</definedName>
    <definedName name="__SUM_CS65..CS7" localSheetId="11">#REF!</definedName>
    <definedName name="__SUM_CS65..CS7">#REF!</definedName>
    <definedName name="__SUM_FQ20..FQ2" localSheetId="23">#REF!</definedName>
    <definedName name="__SUM_FQ20..FQ2" localSheetId="24">#REF!</definedName>
    <definedName name="__SUM_FQ20..FQ2" localSheetId="25">#REF!</definedName>
    <definedName name="__SUM_FQ20..FQ2" localSheetId="11">#REF!</definedName>
    <definedName name="__SUM_FQ20..FQ2">#REF!</definedName>
    <definedName name="__SUM_FQ28..FQ3" localSheetId="23">#REF!</definedName>
    <definedName name="__SUM_FQ28..FQ3" localSheetId="24">#REF!</definedName>
    <definedName name="__SUM_FQ28..FQ3" localSheetId="25">#REF!</definedName>
    <definedName name="__SUM_FQ28..FQ3" localSheetId="11">#REF!</definedName>
    <definedName name="__SUM_FQ28..FQ3">#REF!</definedName>
    <definedName name="__XL__ENTER_UNIT" localSheetId="23">#REF!</definedName>
    <definedName name="__XL__ENTER_UNIT" localSheetId="24">#REF!</definedName>
    <definedName name="__XL__ENTER_UNIT" localSheetId="25">#REF!</definedName>
    <definedName name="__XL__ENTER_UNIT" localSheetId="11">#REF!</definedName>
    <definedName name="__XL__ENTER_UNIT">#REF!</definedName>
    <definedName name="_5" localSheetId="23">#REF!</definedName>
    <definedName name="_5" localSheetId="24">#REF!</definedName>
    <definedName name="_5" localSheetId="25">#REF!</definedName>
    <definedName name="_5" localSheetId="11">#REF!</definedName>
    <definedName name="_5">#REF!</definedName>
    <definedName name="_6" localSheetId="23">#REF!</definedName>
    <definedName name="_6" localSheetId="24">#REF!</definedName>
    <definedName name="_6" localSheetId="25">#REF!</definedName>
    <definedName name="_6" localSheetId="11">#REF!</definedName>
    <definedName name="_6">#REF!</definedName>
    <definedName name="_D___GOTO_GK112" localSheetId="23">#REF!</definedName>
    <definedName name="_D___GOTO_GK112" localSheetId="24">#REF!</definedName>
    <definedName name="_D___GOTO_GK112" localSheetId="25">#REF!</definedName>
    <definedName name="_D___GOTO_GK112" localSheetId="11">#REF!</definedName>
    <definedName name="_D___GOTO_GK112">#REF!</definedName>
    <definedName name="_D___GOTO_GK56_" localSheetId="23">#REF!</definedName>
    <definedName name="_D___GOTO_GK56_" localSheetId="24">#REF!</definedName>
    <definedName name="_D___GOTO_GK56_" localSheetId="25">#REF!</definedName>
    <definedName name="_D___GOTO_GK56_" localSheetId="11">#REF!</definedName>
    <definedName name="_D___GOTO_GK56_">#REF!</definedName>
    <definedName name="_D__D___L___GOT" localSheetId="23">#REF!</definedName>
    <definedName name="_D__D___L___GOT" localSheetId="24">#REF!</definedName>
    <definedName name="_D__D___L___GOT" localSheetId="25">#REF!</definedName>
    <definedName name="_D__D___L___GOT" localSheetId="11">#REF!</definedName>
    <definedName name="_D__D___L___GOT">#REF!</definedName>
    <definedName name="_D__D__D___D__D" localSheetId="23">#REF!</definedName>
    <definedName name="_D__D__D___D__D" localSheetId="24">#REF!</definedName>
    <definedName name="_D__D__D___D__D" localSheetId="25">#REF!</definedName>
    <definedName name="_D__D__D___D__D" localSheetId="11">#REF!</definedName>
    <definedName name="_D__D__D___D__D">#REF!</definedName>
    <definedName name="_D_19__U_19_" localSheetId="23">#REF!</definedName>
    <definedName name="_D_19__U_19_" localSheetId="24">#REF!</definedName>
    <definedName name="_D_19__U_19_" localSheetId="25">#REF!</definedName>
    <definedName name="_D_19__U_19_" localSheetId="11">#REF!</definedName>
    <definedName name="_D_19__U_19_">#REF!</definedName>
    <definedName name="_DOWN_9__RIGHT_" localSheetId="23">#REF!</definedName>
    <definedName name="_DOWN_9__RIGHT_" localSheetId="24">#REF!</definedName>
    <definedName name="_DOWN_9__RIGHT_" localSheetId="25">#REF!</definedName>
    <definedName name="_DOWN_9__RIGHT_" localSheetId="11">#REF!</definedName>
    <definedName name="_DOWN_9__RIGHT_">#REF!</definedName>
    <definedName name="_Fill" localSheetId="23" hidden="1">#REF!</definedName>
    <definedName name="_Fill" localSheetId="24" hidden="1">#REF!</definedName>
    <definedName name="_Fill" localSheetId="25" hidden="1">#REF!</definedName>
    <definedName name="_Fill" localSheetId="11" hidden="1">#REF!</definedName>
    <definedName name="_Fill" localSheetId="20" hidden="1">#REF!</definedName>
    <definedName name="_Fill" hidden="1">#REF!</definedName>
    <definedName name="_FROM__R__R__08" localSheetId="23">#REF!</definedName>
    <definedName name="_FROM__R__R__08" localSheetId="24">#REF!</definedName>
    <definedName name="_FROM__R__R__08" localSheetId="25">#REF!</definedName>
    <definedName name="_FROM__R__R__08" localSheetId="11">#REF!</definedName>
    <definedName name="_FROM__R__R__08" localSheetId="20">#REF!</definedName>
    <definedName name="_FROM__R__R__08">#REF!</definedName>
    <definedName name="_FROM__R__R__16" localSheetId="23">#REF!</definedName>
    <definedName name="_FROM__R__R__16" localSheetId="24">#REF!</definedName>
    <definedName name="_FROM__R__R__16" localSheetId="25">#REF!</definedName>
    <definedName name="_FROM__R__R__16" localSheetId="11">#REF!</definedName>
    <definedName name="_FROM__R__R__16">#REF!</definedName>
    <definedName name="_GENERATION__R_" localSheetId="23">#REF!</definedName>
    <definedName name="_GENERATION__R_" localSheetId="24">#REF!</definedName>
    <definedName name="_GENERATION__R_" localSheetId="25">#REF!</definedName>
    <definedName name="_GENERATION__R_" localSheetId="11">#REF!</definedName>
    <definedName name="_GENERATION__R_">#REF!</definedName>
    <definedName name="_GOTO_BT49__R__" localSheetId="23">#REF!</definedName>
    <definedName name="_GOTO_BT49__R__" localSheetId="24">#REF!</definedName>
    <definedName name="_GOTO_BT49__R__" localSheetId="25">#REF!</definedName>
    <definedName name="_GOTO_BT49__R__" localSheetId="11">#REF!</definedName>
    <definedName name="_GOTO_BT49__R__">#REF!</definedName>
    <definedName name="_GOTO_CF11__?__" localSheetId="23">#REF!</definedName>
    <definedName name="_GOTO_CF11__?__" localSheetId="24">#REF!</definedName>
    <definedName name="_GOTO_CF11__?__" localSheetId="25">#REF!</definedName>
    <definedName name="_GOTO_CF11__?__" localSheetId="11">#REF!</definedName>
    <definedName name="_GOTO_CF11__?__">#REF!</definedName>
    <definedName name="_GOTO_EO75__WEK" localSheetId="23">#REF!</definedName>
    <definedName name="_GOTO_EO75__WEK" localSheetId="24">#REF!</definedName>
    <definedName name="_GOTO_EO75__WEK" localSheetId="25">#REF!</definedName>
    <definedName name="_GOTO_EO75__WEK" localSheetId="11">#REF!</definedName>
    <definedName name="_GOTO_EO75__WEK">#REF!</definedName>
    <definedName name="_GOTO_EP82__PEA" localSheetId="23">#REF!</definedName>
    <definedName name="_GOTO_EP82__PEA" localSheetId="24">#REF!</definedName>
    <definedName name="_GOTO_EP82__PEA" localSheetId="25">#REF!</definedName>
    <definedName name="_GOTO_EP82__PEA" localSheetId="11">#REF!</definedName>
    <definedName name="_GOTO_EP82__PEA">#REF!</definedName>
    <definedName name="_GOTO_EP86__PER" localSheetId="23">#REF!</definedName>
    <definedName name="_GOTO_EP86__PER" localSheetId="24">#REF!</definedName>
    <definedName name="_GOTO_EP86__PER" localSheetId="25">#REF!</definedName>
    <definedName name="_GOTO_EP86__PER" localSheetId="11">#REF!</definedName>
    <definedName name="_GOTO_EP86__PER">#REF!</definedName>
    <definedName name="_GOTO_FO112__RV" localSheetId="23">#REF!</definedName>
    <definedName name="_GOTO_FO112__RV" localSheetId="24">#REF!</definedName>
    <definedName name="_GOTO_FO112__RV" localSheetId="25">#REF!</definedName>
    <definedName name="_GOTO_FO112__RV" localSheetId="11">#REF!</definedName>
    <definedName name="_GOTO_FO112__RV">#REF!</definedName>
    <definedName name="_GOTO_FO56__RV_" localSheetId="23">#REF!</definedName>
    <definedName name="_GOTO_FO56__RV_" localSheetId="24">#REF!</definedName>
    <definedName name="_GOTO_FO56__RV_" localSheetId="25">#REF!</definedName>
    <definedName name="_GOTO_FO56__RV_" localSheetId="11">#REF!</definedName>
    <definedName name="_GOTO_FO56__RV_">#REF!</definedName>
    <definedName name="_HOME__GOTO_M14" localSheetId="23">#REF!</definedName>
    <definedName name="_HOME__GOTO_M14" localSheetId="24">#REF!</definedName>
    <definedName name="_HOME__GOTO_M14" localSheetId="25">#REF!</definedName>
    <definedName name="_HOME__GOTO_M14" localSheetId="11">#REF!</definedName>
    <definedName name="_HOME__GOTO_M14">#REF!</definedName>
    <definedName name="_Order1" hidden="1">255</definedName>
    <definedName name="_PLF__R__R___ES" localSheetId="23">#REF!</definedName>
    <definedName name="_PLF__R__R___ES" localSheetId="24">#REF!</definedName>
    <definedName name="_PLF__R__R___ES" localSheetId="25">#REF!</definedName>
    <definedName name="_PLF__R__R___ES" localSheetId="11">#REF!</definedName>
    <definedName name="_PLF__R__R___ES" localSheetId="20">#REF!</definedName>
    <definedName name="_PLF__R__R___ES">#REF!</definedName>
    <definedName name="_RV_DOWN_6__LEF" localSheetId="23">#REF!</definedName>
    <definedName name="_RV_DOWN_6__LEF" localSheetId="24">#REF!</definedName>
    <definedName name="_RV_DOWN_6__LEF" localSheetId="25">#REF!</definedName>
    <definedName name="_RV_DOWN_6__LEF" localSheetId="11">#REF!</definedName>
    <definedName name="_RV_DOWN_6__LEF">#REF!</definedName>
    <definedName name="_SCH6" localSheetId="23">'[1]04REL'!#REF!</definedName>
    <definedName name="_SCH6" localSheetId="24">'[1]04REL'!#REF!</definedName>
    <definedName name="_SCH6" localSheetId="25">'[1]04REL'!#REF!</definedName>
    <definedName name="_SCH6" localSheetId="11">'[1]04REL'!#REF!</definedName>
    <definedName name="_SCH6" localSheetId="14">'[1]04REL'!#REF!</definedName>
    <definedName name="_SCH6" localSheetId="35">'[1]04REL'!#REF!</definedName>
    <definedName name="_SCH6">'[1]04REL'!#REF!</definedName>
    <definedName name="_SUM_DI14..DI21" localSheetId="23">#REF!</definedName>
    <definedName name="_SUM_DI14..DI21" localSheetId="24">#REF!</definedName>
    <definedName name="_SUM_DI14..DI21" localSheetId="25">#REF!</definedName>
    <definedName name="_SUM_DI14..DI21" localSheetId="11">#REF!</definedName>
    <definedName name="_SUM_DI14..DI21" localSheetId="20">#REF!</definedName>
    <definedName name="_SUM_DI14..DI21">#REF!</definedName>
    <definedName name="_SUM_DI22..DI29" localSheetId="23">#REF!</definedName>
    <definedName name="_SUM_DI22..DI29" localSheetId="24">#REF!</definedName>
    <definedName name="_SUM_DI22..DI29" localSheetId="25">#REF!</definedName>
    <definedName name="_SUM_DI22..DI29" localSheetId="11">#REF!</definedName>
    <definedName name="_SUM_DI22..DI29">#REF!</definedName>
    <definedName name="_U__END__U__D__" localSheetId="23">#REF!</definedName>
    <definedName name="_U__END__U__D__" localSheetId="24">#REF!</definedName>
    <definedName name="_U__END__U__D__" localSheetId="25">#REF!</definedName>
    <definedName name="_U__END__U__D__" localSheetId="11">#REF!</definedName>
    <definedName name="_U__END__U__D__">#REF!</definedName>
    <definedName name="_U__U__END__U__" localSheetId="23">#REF!</definedName>
    <definedName name="_U__U__END__U__" localSheetId="24">#REF!</definedName>
    <definedName name="_U__U__END__U__" localSheetId="25">#REF!</definedName>
    <definedName name="_U__U__END__U__" localSheetId="11">#REF!</definedName>
    <definedName name="_U__U__END__U__">#REF!</definedName>
    <definedName name="_U__U__U__U__U_" localSheetId="23">#REF!</definedName>
    <definedName name="_U__U__U__U__U_" localSheetId="24">#REF!</definedName>
    <definedName name="_U__U__U__U__U_" localSheetId="25">#REF!</definedName>
    <definedName name="_U__U__U__U__U_" localSheetId="11">#REF!</definedName>
    <definedName name="_U__U__U__U__U_">#REF!</definedName>
    <definedName name="_WGPD_GOTO_CO10" localSheetId="23">#REF!</definedName>
    <definedName name="_WGPD_GOTO_CO10" localSheetId="24">#REF!</definedName>
    <definedName name="_WGPD_GOTO_CO10" localSheetId="25">#REF!</definedName>
    <definedName name="_WGPD_GOTO_CO10" localSheetId="11">#REF!</definedName>
    <definedName name="_WGPD_GOTO_CO10">#REF!</definedName>
    <definedName name="A" localSheetId="23">#REF!</definedName>
    <definedName name="A" localSheetId="24">#REF!</definedName>
    <definedName name="A" localSheetId="25">#REF!</definedName>
    <definedName name="A" localSheetId="2">#REF!</definedName>
    <definedName name="A" localSheetId="11">#REF!</definedName>
    <definedName name="A" localSheetId="35">#REF!</definedName>
    <definedName name="A">#REF!</definedName>
    <definedName name="ADL.63">[3]Addl.40!$A$38:$I$284</definedName>
    <definedName name="AuBhu0910" localSheetId="20">[4]Assumption_PwC!$D$7</definedName>
    <definedName name="AuBhu0910">[5]Assumption_PwC!$D$7</definedName>
    <definedName name="AuBhu1011" localSheetId="20">[4]Assumption_PwC!$E$7</definedName>
    <definedName name="AuBhu1011">[5]Assumption_PwC!$E$7</definedName>
    <definedName name="AuCha0910" localSheetId="20">[4]Assumption_PwC!$D$8</definedName>
    <definedName name="AuCha0910">[5]Assumption_PwC!$D$8</definedName>
    <definedName name="AV" localSheetId="23">#REF!</definedName>
    <definedName name="AV" localSheetId="24">#REF!</definedName>
    <definedName name="AV" localSheetId="25">#REF!</definedName>
    <definedName name="AV" localSheetId="11">#REF!</definedName>
    <definedName name="AV" localSheetId="20">#REF!</definedName>
    <definedName name="AV">#REF!</definedName>
    <definedName name="C_Data_1" localSheetId="23">'[6]2000-01'!#REF!</definedName>
    <definedName name="C_Data_1" localSheetId="24">'[6]2000-01'!#REF!</definedName>
    <definedName name="C_Data_1" localSheetId="25">'[6]2000-01'!#REF!</definedName>
    <definedName name="C_Data_1" localSheetId="11">'[6]2000-01'!#REF!</definedName>
    <definedName name="C_Data_1" localSheetId="20">'[6]2000-01'!#REF!</definedName>
    <definedName name="C_Data_1">'[6]2000-01'!#REF!</definedName>
    <definedName name="C_Data_2" localSheetId="23">'[6]2000-01'!#REF!</definedName>
    <definedName name="C_Data_2" localSheetId="24">'[6]2000-01'!#REF!</definedName>
    <definedName name="C_Data_2" localSheetId="25">'[6]2000-01'!#REF!</definedName>
    <definedName name="C_Data_2" localSheetId="11">'[6]2000-01'!#REF!</definedName>
    <definedName name="C_Data_2">'[6]2000-01'!#REF!</definedName>
    <definedName name="CM10_C_RIGHT___" localSheetId="23">#REF!</definedName>
    <definedName name="CM10_C_RIGHT___" localSheetId="24">#REF!</definedName>
    <definedName name="CM10_C_RIGHT___" localSheetId="25">#REF!</definedName>
    <definedName name="CM10_C_RIGHT___" localSheetId="11">#REF!</definedName>
    <definedName name="CM10_C_RIGHT___" localSheetId="20">#REF!</definedName>
    <definedName name="CM10_C_RIGHT___">#REF!</definedName>
    <definedName name="CV" localSheetId="23">#REF!</definedName>
    <definedName name="CV" localSheetId="24">#REF!</definedName>
    <definedName name="CV" localSheetId="25">#REF!</definedName>
    <definedName name="CV" localSheetId="11">#REF!</definedName>
    <definedName name="CV">#REF!</definedName>
    <definedName name="D">#N/A</definedName>
    <definedName name="Debt_Pct">[7]Assumptions!$B$13</definedName>
    <definedName name="dpc">'[8]dpc cost'!$D$1</definedName>
    <definedName name="E_315MVA_Addl_Page1" localSheetId="23">#REF!</definedName>
    <definedName name="E_315MVA_Addl_Page1" localSheetId="24">#REF!</definedName>
    <definedName name="E_315MVA_Addl_Page1" localSheetId="25">#REF!</definedName>
    <definedName name="E_315MVA_Addl_Page1" localSheetId="2">#REF!</definedName>
    <definedName name="E_315MVA_Addl_Page1" localSheetId="11">#REF!</definedName>
    <definedName name="E_315MVA_Addl_Page1" localSheetId="35">#REF!</definedName>
    <definedName name="E_315MVA_Addl_Page1" localSheetId="20">#REF!</definedName>
    <definedName name="E_315MVA_Addl_Page1">#REF!</definedName>
    <definedName name="E_315MVA_Addl_Page2" localSheetId="23">#REF!</definedName>
    <definedName name="E_315MVA_Addl_Page2" localSheetId="24">#REF!</definedName>
    <definedName name="E_315MVA_Addl_Page2" localSheetId="25">#REF!</definedName>
    <definedName name="E_315MVA_Addl_Page2" localSheetId="2">#REF!</definedName>
    <definedName name="E_315MVA_Addl_Page2" localSheetId="11">#REF!</definedName>
    <definedName name="E_315MVA_Addl_Page2" localSheetId="35">#REF!</definedName>
    <definedName name="E_315MVA_Addl_Page2">#REF!</definedName>
    <definedName name="Erai_level">[9]Level_qty!$B$8:$C$528</definedName>
    <definedName name="Esc_AGExp">[10]Assumptions!$B$4</definedName>
    <definedName name="Esc_Coal">[7]Assumptions!$B$6</definedName>
    <definedName name="Esc_DomGas">[7]Assumptions!$B$8</definedName>
    <definedName name="Esc_EmpExp">[7]Assumptions!$B$3</definedName>
    <definedName name="Esc_LNGas">[7]Assumptions!$B$9</definedName>
    <definedName name="Esc_Oil">[7]Assumptions!$B$7</definedName>
    <definedName name="Esc_OtherVarCharge">[7]Assumptions!$B$10</definedName>
    <definedName name="Esc_RMExp">[10]Assumptions!$B$5</definedName>
    <definedName name="EscAGExp" localSheetId="23">#REF!</definedName>
    <definedName name="EscAGExp" localSheetId="24">#REF!</definedName>
    <definedName name="EscAGExp" localSheetId="25">#REF!</definedName>
    <definedName name="EscAGExp" localSheetId="11">#REF!</definedName>
    <definedName name="EscAGExp" localSheetId="20">#REF!</definedName>
    <definedName name="EscAGExp">#REF!</definedName>
    <definedName name="EscCoal" localSheetId="23">#REF!</definedName>
    <definedName name="EscCoal" localSheetId="24">#REF!</definedName>
    <definedName name="EscCoal" localSheetId="25">#REF!</definedName>
    <definedName name="EscCoal" localSheetId="11">#REF!</definedName>
    <definedName name="EscCoal">#REF!</definedName>
    <definedName name="EscDomGas" localSheetId="23">#REF!</definedName>
    <definedName name="EscDomGas" localSheetId="24">#REF!</definedName>
    <definedName name="EscDomGas" localSheetId="25">#REF!</definedName>
    <definedName name="EscDomGas" localSheetId="11">#REF!</definedName>
    <definedName name="EscDomGas">#REF!</definedName>
    <definedName name="EscEmpExp" localSheetId="23">#REF!</definedName>
    <definedName name="EscEmpExp" localSheetId="24">#REF!</definedName>
    <definedName name="EscEmpExp" localSheetId="25">#REF!</definedName>
    <definedName name="EscEmpExp" localSheetId="11">#REF!</definedName>
    <definedName name="EscEmpExp">#REF!</definedName>
    <definedName name="EscLNGas" localSheetId="23">#REF!</definedName>
    <definedName name="EscLNGas" localSheetId="24">#REF!</definedName>
    <definedName name="EscLNGas" localSheetId="25">#REF!</definedName>
    <definedName name="EscLNGas" localSheetId="11">#REF!</definedName>
    <definedName name="EscLNGas">#REF!</definedName>
    <definedName name="EscOil" localSheetId="23">#REF!</definedName>
    <definedName name="EscOil" localSheetId="24">#REF!</definedName>
    <definedName name="EscOil" localSheetId="25">#REF!</definedName>
    <definedName name="EscOil" localSheetId="11">#REF!</definedName>
    <definedName name="EscOil">#REF!</definedName>
    <definedName name="EscOtherIncome" localSheetId="23">#REF!</definedName>
    <definedName name="EscOtherIncome" localSheetId="24">#REF!</definedName>
    <definedName name="EscOtherIncome" localSheetId="25">#REF!</definedName>
    <definedName name="EscOtherIncome" localSheetId="11">#REF!</definedName>
    <definedName name="EscOtherIncome">#REF!</definedName>
    <definedName name="EscOtherVarCharge" localSheetId="23">#REF!</definedName>
    <definedName name="EscOtherVarCharge" localSheetId="24">#REF!</definedName>
    <definedName name="EscOtherVarCharge" localSheetId="25">#REF!</definedName>
    <definedName name="EscOtherVarCharge" localSheetId="11">#REF!</definedName>
    <definedName name="EscOtherVarCharge">#REF!</definedName>
    <definedName name="EscRMExp" localSheetId="23">#REF!</definedName>
    <definedName name="EscRMExp" localSheetId="24">#REF!</definedName>
    <definedName name="EscRMExp" localSheetId="25">#REF!</definedName>
    <definedName name="EscRMExp" localSheetId="11">#REF!</definedName>
    <definedName name="EscRMExp">#REF!</definedName>
    <definedName name="FAX" localSheetId="23">#REF!</definedName>
    <definedName name="FAX" localSheetId="24">#REF!</definedName>
    <definedName name="FAX" localSheetId="25">#REF!</definedName>
    <definedName name="FAX" localSheetId="11">#REF!</definedName>
    <definedName name="FAX">#REF!</definedName>
    <definedName name="FinCharge">[7]Assumptions!$B$25</definedName>
    <definedName name="Fuel_Exp_CY" localSheetId="23">#REF!</definedName>
    <definedName name="Fuel_Exp_CY" localSheetId="24">#REF!</definedName>
    <definedName name="Fuel_Exp_CY" localSheetId="25">#REF!</definedName>
    <definedName name="Fuel_Exp_CY" localSheetId="2">#REF!</definedName>
    <definedName name="Fuel_Exp_CY" localSheetId="11">#REF!</definedName>
    <definedName name="Fuel_Exp_CY" localSheetId="35">#REF!</definedName>
    <definedName name="Fuel_Exp_CY" localSheetId="20">#REF!</definedName>
    <definedName name="Fuel_Exp_CY">#REF!</definedName>
    <definedName name="Fuel_Exp_EY" localSheetId="23">#REF!</definedName>
    <definedName name="Fuel_Exp_EY" localSheetId="24">#REF!</definedName>
    <definedName name="Fuel_Exp_EY" localSheetId="25">#REF!</definedName>
    <definedName name="Fuel_Exp_EY" localSheetId="2">#REF!</definedName>
    <definedName name="Fuel_Exp_EY" localSheetId="11">#REF!</definedName>
    <definedName name="Fuel_Exp_EY" localSheetId="35">#REF!</definedName>
    <definedName name="Fuel_Exp_EY">#REF!</definedName>
    <definedName name="Fuel_Exp_PY" localSheetId="23">#REF!</definedName>
    <definedName name="Fuel_Exp_PY" localSheetId="24">#REF!</definedName>
    <definedName name="Fuel_Exp_PY" localSheetId="25">#REF!</definedName>
    <definedName name="Fuel_Exp_PY" localSheetId="2">#REF!</definedName>
    <definedName name="Fuel_Exp_PY" localSheetId="11">#REF!</definedName>
    <definedName name="Fuel_Exp_PY" localSheetId="35">#REF!</definedName>
    <definedName name="Fuel_Exp_PY">#REF!</definedName>
    <definedName name="GR" localSheetId="23">#REF!</definedName>
    <definedName name="GR" localSheetId="24">#REF!</definedName>
    <definedName name="GR" localSheetId="25">#REF!</definedName>
    <definedName name="GR" localSheetId="11">#REF!</definedName>
    <definedName name="GR">#REF!</definedName>
    <definedName name="IntRate_11">[7]Assumptions!$B$11</definedName>
    <definedName name="IntRate_12">[7]Assumptions!$B$12</definedName>
    <definedName name="IntRate_WC" localSheetId="20">[4]Assumptions!$B$16</definedName>
    <definedName name="IntRate_WC">[5]Assumptions!$B$16</definedName>
    <definedName name="IntRate_WC10">[7]Assumptions!$B$16</definedName>
    <definedName name="IntRate_WC11">[7]Assumptions!$B$17</definedName>
    <definedName name="IntRate_WC12">[7]Assumptions!$B$18</definedName>
    <definedName name="IntRate12" localSheetId="23">#REF!</definedName>
    <definedName name="IntRate12" localSheetId="24">#REF!</definedName>
    <definedName name="IntRate12" localSheetId="25">#REF!</definedName>
    <definedName name="IntRate12" localSheetId="11">#REF!</definedName>
    <definedName name="IntRate12" localSheetId="20">#REF!</definedName>
    <definedName name="IntRate12">#REF!</definedName>
    <definedName name="IntRate13" localSheetId="23">#REF!</definedName>
    <definedName name="IntRate13" localSheetId="24">#REF!</definedName>
    <definedName name="IntRate13" localSheetId="25">#REF!</definedName>
    <definedName name="IntRate13" localSheetId="11">#REF!</definedName>
    <definedName name="IntRate13">#REF!</definedName>
    <definedName name="IntRateWC11" localSheetId="23">#REF!</definedName>
    <definedName name="IntRateWC11" localSheetId="24">#REF!</definedName>
    <definedName name="IntRateWC11" localSheetId="25">#REF!</definedName>
    <definedName name="IntRateWC11" localSheetId="11">#REF!</definedName>
    <definedName name="IntRateWC11">#REF!</definedName>
    <definedName name="IntRateWC12" localSheetId="23">#REF!</definedName>
    <definedName name="IntRateWC12" localSheetId="24">#REF!</definedName>
    <definedName name="IntRateWC12" localSheetId="25">#REF!</definedName>
    <definedName name="IntRateWC12" localSheetId="11">#REF!</definedName>
    <definedName name="IntRateWC12">#REF!</definedName>
    <definedName name="IntRateWC13" localSheetId="23">#REF!</definedName>
    <definedName name="IntRateWC13" localSheetId="24">#REF!</definedName>
    <definedName name="IntRateWC13" localSheetId="25">#REF!</definedName>
    <definedName name="IntRateWC13" localSheetId="11">#REF!</definedName>
    <definedName name="IntRateWC13">#REF!</definedName>
    <definedName name="Intt_Charge_cY" localSheetId="23">#REF!,#REF!</definedName>
    <definedName name="Intt_Charge_cY" localSheetId="24">#REF!,#REF!</definedName>
    <definedName name="Intt_Charge_cY" localSheetId="25">#REF!,#REF!</definedName>
    <definedName name="Intt_Charge_cY" localSheetId="2">#REF!,#REF!</definedName>
    <definedName name="Intt_Charge_cY" localSheetId="11">#REF!,#REF!</definedName>
    <definedName name="Intt_Charge_cY" localSheetId="35">#REF!,#REF!</definedName>
    <definedName name="Intt_Charge_cY" localSheetId="20">#REF!,#REF!</definedName>
    <definedName name="Intt_Charge_cY">#REF!,#REF!</definedName>
    <definedName name="Intt_Charge_cy_1" localSheetId="20">'[11]A 3.7'!$H$35,'[11]A 3.7'!$H$44</definedName>
    <definedName name="Intt_Charge_cy_1">'[12]A 3.7'!$H$35,'[12]A 3.7'!$H$44</definedName>
    <definedName name="Intt_Charge_eY" localSheetId="23">#REF!,#REF!</definedName>
    <definedName name="Intt_Charge_eY" localSheetId="24">#REF!,#REF!</definedName>
    <definedName name="Intt_Charge_eY" localSheetId="25">#REF!,#REF!</definedName>
    <definedName name="Intt_Charge_eY" localSheetId="2">#REF!,#REF!</definedName>
    <definedName name="Intt_Charge_eY" localSheetId="11">#REF!,#REF!</definedName>
    <definedName name="Intt_Charge_eY" localSheetId="35">#REF!,#REF!</definedName>
    <definedName name="Intt_Charge_eY">#REF!,#REF!</definedName>
    <definedName name="Intt_Charge_ey_1" localSheetId="20">'[11]A 3.7'!$I$35,'[11]A 3.7'!$I$44</definedName>
    <definedName name="Intt_Charge_ey_1">'[12]A 3.7'!$I$35,'[12]A 3.7'!$I$44</definedName>
    <definedName name="Intt_Charge_PY" localSheetId="23">#REF!,#REF!</definedName>
    <definedName name="Intt_Charge_PY" localSheetId="24">#REF!,#REF!</definedName>
    <definedName name="Intt_Charge_PY" localSheetId="25">#REF!,#REF!</definedName>
    <definedName name="Intt_Charge_PY" localSheetId="2">#REF!,#REF!</definedName>
    <definedName name="Intt_Charge_PY" localSheetId="11">#REF!,#REF!</definedName>
    <definedName name="Intt_Charge_PY" localSheetId="35">#REF!,#REF!</definedName>
    <definedName name="Intt_Charge_PY">#REF!,#REF!</definedName>
    <definedName name="Intt_Charge_py_1" localSheetId="20">'[11]A 3.7'!$G$35,'[11]A 3.7'!$G$44</definedName>
    <definedName name="Intt_Charge_py_1">'[12]A 3.7'!$G$35,'[12]A 3.7'!$G$44</definedName>
    <definedName name="IsCircular" localSheetId="23">#REF!</definedName>
    <definedName name="IsCircular" localSheetId="24">#REF!</definedName>
    <definedName name="IsCircular" localSheetId="25">#REF!</definedName>
    <definedName name="IsCircular" localSheetId="11">#REF!</definedName>
    <definedName name="IsCircular" localSheetId="20">#REF!</definedName>
    <definedName name="IsCircular">#REF!</definedName>
    <definedName name="K2000_">#N/A</definedName>
    <definedName name="LTR_M_NEW" localSheetId="23">#REF!</definedName>
    <definedName name="LTR_M_NEW" localSheetId="24">#REF!</definedName>
    <definedName name="LTR_M_NEW" localSheetId="25">#REF!</definedName>
    <definedName name="LTR_M_NEW" localSheetId="11">#REF!</definedName>
    <definedName name="LTR_M_NEW" localSheetId="20">#REF!</definedName>
    <definedName name="LTR_M_NEW">#REF!</definedName>
    <definedName name="LTR_MOR" localSheetId="23">#REF!</definedName>
    <definedName name="LTR_MOR" localSheetId="24">#REF!</definedName>
    <definedName name="LTR_MOR" localSheetId="25">#REF!</definedName>
    <definedName name="LTR_MOR" localSheetId="11">#REF!</definedName>
    <definedName name="LTR_MOR">#REF!</definedName>
    <definedName name="new" localSheetId="23" hidden="1">[13]CE!#REF!</definedName>
    <definedName name="new" localSheetId="24" hidden="1">[13]CE!#REF!</definedName>
    <definedName name="new" localSheetId="25" hidden="1">[13]CE!#REF!</definedName>
    <definedName name="new" localSheetId="11" hidden="1">[13]CE!#REF!</definedName>
    <definedName name="new" localSheetId="20" hidden="1">[13]CE!#REF!</definedName>
    <definedName name="new" hidden="1">[13]CE!#REF!</definedName>
    <definedName name="O" localSheetId="23">#REF!</definedName>
    <definedName name="O" localSheetId="24">#REF!</definedName>
    <definedName name="O" localSheetId="25">#REF!</definedName>
    <definedName name="O" localSheetId="11">#REF!</definedName>
    <definedName name="O" localSheetId="20">#REF!</definedName>
    <definedName name="O">#REF!</definedName>
    <definedName name="p" localSheetId="23">#REF!</definedName>
    <definedName name="p" localSheetId="24">#REF!</definedName>
    <definedName name="p" localSheetId="25">#REF!</definedName>
    <definedName name="p" localSheetId="11">#REF!</definedName>
    <definedName name="p">#REF!</definedName>
    <definedName name="PAGE1" localSheetId="23">#REF!</definedName>
    <definedName name="PAGE1" localSheetId="24">#REF!</definedName>
    <definedName name="PAGE1" localSheetId="25">#REF!</definedName>
    <definedName name="PAGE1" localSheetId="11">#REF!</definedName>
    <definedName name="PAGE1">#REF!</definedName>
    <definedName name="page10" localSheetId="23">#REF!</definedName>
    <definedName name="page10" localSheetId="24">#REF!</definedName>
    <definedName name="page10" localSheetId="25">#REF!</definedName>
    <definedName name="page10" localSheetId="11">#REF!</definedName>
    <definedName name="page10">#REF!</definedName>
    <definedName name="PAGE10_6" localSheetId="23">#REF!</definedName>
    <definedName name="PAGE10_6" localSheetId="24">#REF!</definedName>
    <definedName name="PAGE10_6" localSheetId="25">#REF!</definedName>
    <definedName name="PAGE10_6" localSheetId="11">#REF!</definedName>
    <definedName name="PAGE10_6">#REF!</definedName>
    <definedName name="PAGE11_6" localSheetId="23">#REF!</definedName>
    <definedName name="PAGE11_6" localSheetId="24">#REF!</definedName>
    <definedName name="PAGE11_6" localSheetId="25">#REF!</definedName>
    <definedName name="PAGE11_6" localSheetId="11">#REF!</definedName>
    <definedName name="PAGE11_6">#REF!</definedName>
    <definedName name="PAGE12_6" localSheetId="23">#REF!</definedName>
    <definedName name="PAGE12_6" localSheetId="24">#REF!</definedName>
    <definedName name="PAGE12_6" localSheetId="25">#REF!</definedName>
    <definedName name="PAGE12_6" localSheetId="11">#REF!</definedName>
    <definedName name="PAGE12_6">#REF!</definedName>
    <definedName name="PAGE14" localSheetId="23">#REF!</definedName>
    <definedName name="PAGE14" localSheetId="24">#REF!</definedName>
    <definedName name="PAGE14" localSheetId="25">#REF!</definedName>
    <definedName name="PAGE14" localSheetId="11">#REF!</definedName>
    <definedName name="PAGE14">#REF!</definedName>
    <definedName name="PAGE15" localSheetId="23">#REF!</definedName>
    <definedName name="PAGE15" localSheetId="24">#REF!</definedName>
    <definedName name="PAGE15" localSheetId="25">#REF!</definedName>
    <definedName name="PAGE15" localSheetId="11">#REF!</definedName>
    <definedName name="PAGE15">#REF!</definedName>
    <definedName name="PAGE16" localSheetId="23">#REF!</definedName>
    <definedName name="PAGE16" localSheetId="24">#REF!</definedName>
    <definedName name="PAGE16" localSheetId="25">#REF!</definedName>
    <definedName name="PAGE16" localSheetId="11">#REF!</definedName>
    <definedName name="PAGE16">#REF!</definedName>
    <definedName name="PAGE17" localSheetId="23">#REF!</definedName>
    <definedName name="PAGE17" localSheetId="24">#REF!</definedName>
    <definedName name="PAGE17" localSheetId="25">#REF!</definedName>
    <definedName name="PAGE17" localSheetId="11">#REF!</definedName>
    <definedName name="PAGE17">#REF!</definedName>
    <definedName name="PAGE18" localSheetId="23">#REF!</definedName>
    <definedName name="PAGE18" localSheetId="24">#REF!</definedName>
    <definedName name="PAGE18" localSheetId="25">#REF!</definedName>
    <definedName name="PAGE18" localSheetId="11">#REF!</definedName>
    <definedName name="PAGE18">#REF!</definedName>
    <definedName name="PAGE19" localSheetId="23">#REF!</definedName>
    <definedName name="PAGE19" localSheetId="24">#REF!</definedName>
    <definedName name="PAGE19" localSheetId="25">#REF!</definedName>
    <definedName name="PAGE19" localSheetId="11">#REF!</definedName>
    <definedName name="PAGE19">#REF!</definedName>
    <definedName name="PAGE2" localSheetId="23">#REF!</definedName>
    <definedName name="PAGE2" localSheetId="24">#REF!</definedName>
    <definedName name="PAGE2" localSheetId="25">#REF!</definedName>
    <definedName name="PAGE2" localSheetId="11">#REF!</definedName>
    <definedName name="PAGE2">#REF!</definedName>
    <definedName name="PAGE2_6" localSheetId="23">#REF!</definedName>
    <definedName name="PAGE2_6" localSheetId="24">#REF!</definedName>
    <definedName name="PAGE2_6" localSheetId="25">#REF!</definedName>
    <definedName name="PAGE2_6" localSheetId="11">#REF!</definedName>
    <definedName name="PAGE2_6">#REF!</definedName>
    <definedName name="PAGE20" localSheetId="23">#REF!</definedName>
    <definedName name="PAGE20" localSheetId="24">#REF!</definedName>
    <definedName name="PAGE20" localSheetId="25">#REF!</definedName>
    <definedName name="PAGE20" localSheetId="11">#REF!</definedName>
    <definedName name="PAGE20">#REF!</definedName>
    <definedName name="PAGE21" localSheetId="23">#REF!</definedName>
    <definedName name="PAGE21" localSheetId="24">#REF!</definedName>
    <definedName name="PAGE21" localSheetId="25">#REF!</definedName>
    <definedName name="PAGE21" localSheetId="11">#REF!</definedName>
    <definedName name="PAGE21">#REF!</definedName>
    <definedName name="PAGE210" localSheetId="23">#REF!</definedName>
    <definedName name="PAGE210" localSheetId="24">#REF!</definedName>
    <definedName name="PAGE210" localSheetId="25">#REF!</definedName>
    <definedName name="PAGE210" localSheetId="11">#REF!</definedName>
    <definedName name="PAGE210">#REF!</definedName>
    <definedName name="PAGE22" localSheetId="23">#REF!</definedName>
    <definedName name="PAGE22" localSheetId="24">#REF!</definedName>
    <definedName name="PAGE22" localSheetId="25">#REF!</definedName>
    <definedName name="PAGE22" localSheetId="11">#REF!</definedName>
    <definedName name="PAGE22">#REF!</definedName>
    <definedName name="PAGE23" localSheetId="23">#REF!</definedName>
    <definedName name="PAGE23" localSheetId="24">#REF!</definedName>
    <definedName name="PAGE23" localSheetId="25">#REF!</definedName>
    <definedName name="PAGE23" localSheetId="11">#REF!</definedName>
    <definedName name="PAGE23">#REF!</definedName>
    <definedName name="PAGE24" localSheetId="23">#REF!</definedName>
    <definedName name="PAGE24" localSheetId="24">#REF!</definedName>
    <definedName name="PAGE24" localSheetId="25">#REF!</definedName>
    <definedName name="PAGE24" localSheetId="11">#REF!</definedName>
    <definedName name="PAGE24">#REF!</definedName>
    <definedName name="PAGE25" localSheetId="23">#REF!</definedName>
    <definedName name="PAGE25" localSheetId="24">#REF!</definedName>
    <definedName name="PAGE25" localSheetId="25">#REF!</definedName>
    <definedName name="PAGE25" localSheetId="11">#REF!</definedName>
    <definedName name="PAGE25">#REF!</definedName>
    <definedName name="PAGE26" localSheetId="23">#REF!</definedName>
    <definedName name="PAGE26" localSheetId="24">#REF!</definedName>
    <definedName name="PAGE26" localSheetId="25">#REF!</definedName>
    <definedName name="PAGE26" localSheetId="11">#REF!</definedName>
    <definedName name="PAGE26">#REF!</definedName>
    <definedName name="PAGE27" localSheetId="23">#REF!</definedName>
    <definedName name="PAGE27" localSheetId="24">#REF!</definedName>
    <definedName name="PAGE27" localSheetId="25">#REF!</definedName>
    <definedName name="PAGE27" localSheetId="11">#REF!</definedName>
    <definedName name="PAGE27">#REF!</definedName>
    <definedName name="PAGE28" localSheetId="23">#REF!</definedName>
    <definedName name="PAGE28" localSheetId="24">#REF!</definedName>
    <definedName name="PAGE28" localSheetId="25">#REF!</definedName>
    <definedName name="PAGE28" localSheetId="11">#REF!</definedName>
    <definedName name="PAGE28">#REF!</definedName>
    <definedName name="PAGE29" localSheetId="23">#REF!</definedName>
    <definedName name="PAGE29" localSheetId="24">#REF!</definedName>
    <definedName name="PAGE29" localSheetId="25">#REF!</definedName>
    <definedName name="PAGE29" localSheetId="11">#REF!</definedName>
    <definedName name="PAGE29">#REF!</definedName>
    <definedName name="PAGE3_6" localSheetId="23">#REF!</definedName>
    <definedName name="PAGE3_6" localSheetId="24">#REF!</definedName>
    <definedName name="PAGE3_6" localSheetId="25">#REF!</definedName>
    <definedName name="PAGE3_6" localSheetId="11">#REF!</definedName>
    <definedName name="PAGE3_6">#REF!</definedName>
    <definedName name="page34" localSheetId="23">#REF!</definedName>
    <definedName name="page34" localSheetId="24">#REF!</definedName>
    <definedName name="page34" localSheetId="25">#REF!</definedName>
    <definedName name="page34" localSheetId="11">#REF!</definedName>
    <definedName name="page34">#REF!</definedName>
    <definedName name="Page35" localSheetId="23">#REF!</definedName>
    <definedName name="Page35" localSheetId="24">#REF!</definedName>
    <definedName name="Page35" localSheetId="25">#REF!</definedName>
    <definedName name="Page35" localSheetId="11">#REF!</definedName>
    <definedName name="Page35">#REF!</definedName>
    <definedName name="PAGE4_6" localSheetId="23">#REF!</definedName>
    <definedName name="PAGE4_6" localSheetId="24">#REF!</definedName>
    <definedName name="PAGE4_6" localSheetId="25">#REF!</definedName>
    <definedName name="PAGE4_6" localSheetId="11">#REF!</definedName>
    <definedName name="PAGE4_6">#REF!</definedName>
    <definedName name="PAGE5_6" localSheetId="23">#REF!</definedName>
    <definedName name="PAGE5_6" localSheetId="24">#REF!</definedName>
    <definedName name="PAGE5_6" localSheetId="25">#REF!</definedName>
    <definedName name="PAGE5_6" localSheetId="11">#REF!</definedName>
    <definedName name="PAGE5_6">#REF!</definedName>
    <definedName name="page50" localSheetId="23">#REF!</definedName>
    <definedName name="page50" localSheetId="24">#REF!</definedName>
    <definedName name="page50" localSheetId="25">#REF!</definedName>
    <definedName name="page50" localSheetId="11">#REF!</definedName>
    <definedName name="page50">#REF!</definedName>
    <definedName name="page51" localSheetId="23">#REF!</definedName>
    <definedName name="page51" localSheetId="24">#REF!</definedName>
    <definedName name="page51" localSheetId="25">#REF!</definedName>
    <definedName name="page51" localSheetId="11">#REF!</definedName>
    <definedName name="page51">#REF!</definedName>
    <definedName name="page52" localSheetId="23">#REF!</definedName>
    <definedName name="page52" localSheetId="24">#REF!</definedName>
    <definedName name="page52" localSheetId="25">#REF!</definedName>
    <definedName name="page52" localSheetId="11">#REF!</definedName>
    <definedName name="page52">#REF!</definedName>
    <definedName name="PAGE6" localSheetId="23">#REF!</definedName>
    <definedName name="PAGE6" localSheetId="24">#REF!</definedName>
    <definedName name="PAGE6" localSheetId="25">#REF!</definedName>
    <definedName name="PAGE6" localSheetId="11">#REF!</definedName>
    <definedName name="PAGE6">#REF!</definedName>
    <definedName name="PAGE6_6" localSheetId="23">#REF!</definedName>
    <definedName name="PAGE6_6" localSheetId="24">#REF!</definedName>
    <definedName name="PAGE6_6" localSheetId="25">#REF!</definedName>
    <definedName name="PAGE6_6" localSheetId="11">#REF!</definedName>
    <definedName name="PAGE6_6">#REF!</definedName>
    <definedName name="PAGE7" localSheetId="23">#REF!</definedName>
    <definedName name="PAGE7" localSheetId="24">#REF!</definedName>
    <definedName name="PAGE7" localSheetId="25">#REF!</definedName>
    <definedName name="PAGE7" localSheetId="11">#REF!</definedName>
    <definedName name="PAGE7">#REF!</definedName>
    <definedName name="PAGE7_6" localSheetId="23">#REF!</definedName>
    <definedName name="PAGE7_6" localSheetId="24">#REF!</definedName>
    <definedName name="PAGE7_6" localSheetId="25">#REF!</definedName>
    <definedName name="PAGE7_6" localSheetId="11">#REF!</definedName>
    <definedName name="PAGE7_6">#REF!</definedName>
    <definedName name="PAGE8" localSheetId="23">#REF!</definedName>
    <definedName name="PAGE8" localSheetId="24">#REF!</definedName>
    <definedName name="PAGE8" localSheetId="25">#REF!</definedName>
    <definedName name="PAGE8" localSheetId="11">#REF!</definedName>
    <definedName name="PAGE8">#REF!</definedName>
    <definedName name="PAGE8_6U1A" localSheetId="23">#REF!</definedName>
    <definedName name="PAGE8_6U1A" localSheetId="24">#REF!</definedName>
    <definedName name="PAGE8_6U1A" localSheetId="25">#REF!</definedName>
    <definedName name="PAGE8_6U1A" localSheetId="11">#REF!</definedName>
    <definedName name="PAGE8_6U1A">#REF!</definedName>
    <definedName name="PAGE8_6U1B" localSheetId="23">#REF!</definedName>
    <definedName name="PAGE8_6U1B" localSheetId="24">#REF!</definedName>
    <definedName name="PAGE8_6U1B" localSheetId="25">#REF!</definedName>
    <definedName name="PAGE8_6U1B" localSheetId="11">#REF!</definedName>
    <definedName name="PAGE8_6U1B">#REF!</definedName>
    <definedName name="PAGE8_6U2A" localSheetId="23">#REF!</definedName>
    <definedName name="PAGE8_6U2A" localSheetId="24">#REF!</definedName>
    <definedName name="PAGE8_6U2A" localSheetId="25">#REF!</definedName>
    <definedName name="PAGE8_6U2A" localSheetId="11">#REF!</definedName>
    <definedName name="PAGE8_6U2A">#REF!</definedName>
    <definedName name="PAGE8_6U2B" localSheetId="23">#REF!</definedName>
    <definedName name="PAGE8_6U2B" localSheetId="24">#REF!</definedName>
    <definedName name="PAGE8_6U2B" localSheetId="25">#REF!</definedName>
    <definedName name="PAGE8_6U2B" localSheetId="11">#REF!</definedName>
    <definedName name="PAGE8_6U2B">#REF!</definedName>
    <definedName name="PAGE8_6U3A" localSheetId="23">#REF!</definedName>
    <definedName name="PAGE8_6U3A" localSheetId="24">#REF!</definedName>
    <definedName name="PAGE8_6U3A" localSheetId="25">#REF!</definedName>
    <definedName name="PAGE8_6U3A" localSheetId="11">#REF!</definedName>
    <definedName name="PAGE8_6U3A">#REF!</definedName>
    <definedName name="PAGE8_6U3B" localSheetId="23">#REF!</definedName>
    <definedName name="PAGE8_6U3B" localSheetId="24">#REF!</definedName>
    <definedName name="PAGE8_6U3B" localSheetId="25">#REF!</definedName>
    <definedName name="PAGE8_6U3B" localSheetId="11">#REF!</definedName>
    <definedName name="PAGE8_6U3B">#REF!</definedName>
    <definedName name="PAGE9" localSheetId="23">#REF!</definedName>
    <definedName name="PAGE9" localSheetId="24">#REF!</definedName>
    <definedName name="PAGE9" localSheetId="25">#REF!</definedName>
    <definedName name="PAGE9" localSheetId="11">#REF!</definedName>
    <definedName name="PAGE9">#REF!</definedName>
    <definedName name="PAGE9_6" localSheetId="23">#REF!</definedName>
    <definedName name="PAGE9_6" localSheetId="24">#REF!</definedName>
    <definedName name="PAGE9_6" localSheetId="25">#REF!</definedName>
    <definedName name="PAGE9_6" localSheetId="11">#REF!</definedName>
    <definedName name="PAGE9_6">#REF!</definedName>
    <definedName name="Pop_Ratio" localSheetId="23">#REF!</definedName>
    <definedName name="Pop_Ratio" localSheetId="24">#REF!</definedName>
    <definedName name="Pop_Ratio" localSheetId="25">#REF!</definedName>
    <definedName name="Pop_Ratio" localSheetId="2">#REF!</definedName>
    <definedName name="Pop_Ratio" localSheetId="11">#REF!</definedName>
    <definedName name="Pop_Ratio" localSheetId="35">#REF!</definedName>
    <definedName name="Pop_Ratio">#REF!</definedName>
    <definedName name="PRF_1" localSheetId="23">#REF!</definedName>
    <definedName name="PRF_1" localSheetId="24">#REF!</definedName>
    <definedName name="PRF_1" localSheetId="25">#REF!</definedName>
    <definedName name="PRF_1" localSheetId="11">#REF!</definedName>
    <definedName name="PRF_1">#REF!</definedName>
    <definedName name="PRF_2_P1" localSheetId="23">#REF!</definedName>
    <definedName name="PRF_2_P1" localSheetId="24">#REF!</definedName>
    <definedName name="PRF_2_P1" localSheetId="25">#REF!</definedName>
    <definedName name="PRF_2_P1" localSheetId="11">#REF!</definedName>
    <definedName name="PRF_2_P1">#REF!</definedName>
    <definedName name="PRF_2_P2" localSheetId="23">#REF!</definedName>
    <definedName name="PRF_2_P2" localSheetId="24">#REF!</definedName>
    <definedName name="PRF_2_P2" localSheetId="25">#REF!</definedName>
    <definedName name="PRF_2_P2" localSheetId="11">#REF!</definedName>
    <definedName name="PRF_2_P2">#REF!</definedName>
    <definedName name="PRF_3_AN1" localSheetId="23">#REF!</definedName>
    <definedName name="PRF_3_AN1" localSheetId="24">#REF!</definedName>
    <definedName name="PRF_3_AN1" localSheetId="25">#REF!</definedName>
    <definedName name="PRF_3_AN1" localSheetId="11">#REF!</definedName>
    <definedName name="PRF_3_AN1">#REF!</definedName>
    <definedName name="PRF_3_AN2" localSheetId="23">#REF!</definedName>
    <definedName name="PRF_3_AN2" localSheetId="24">#REF!</definedName>
    <definedName name="PRF_3_AN2" localSheetId="25">#REF!</definedName>
    <definedName name="PRF_3_AN2" localSheetId="11">#REF!</definedName>
    <definedName name="PRF_3_AN2">#REF!</definedName>
    <definedName name="PRF_3_AN3" localSheetId="23">#REF!</definedName>
    <definedName name="PRF_3_AN3" localSheetId="24">#REF!</definedName>
    <definedName name="PRF_3_AN3" localSheetId="25">#REF!</definedName>
    <definedName name="PRF_3_AN3" localSheetId="11">#REF!</definedName>
    <definedName name="PRF_3_AN3">#REF!</definedName>
    <definedName name="_xlnm.Print_Area" localSheetId="7">'F 2A'!$C$1:$S$50</definedName>
    <definedName name="_xlnm.Print_Area" localSheetId="1">'F1 '!$A$1:$U$23</definedName>
    <definedName name="_xlnm.Print_Area" localSheetId="22">'F10'!$A$1:$T$27</definedName>
    <definedName name="_xlnm.Print_Area" localSheetId="23">'F11'!$A$1:$P$56</definedName>
    <definedName name="_xlnm.Print_Area" localSheetId="24">'F12'!$A$1:$P$149</definedName>
    <definedName name="_xlnm.Print_Area" localSheetId="25">'F13'!$A$1:$O$60</definedName>
    <definedName name="_xlnm.Print_Area" localSheetId="26">'F14'!$A$1:$L$57</definedName>
    <definedName name="_xlnm.Print_Area" localSheetId="27">'F15'!$A$1:$Q$86</definedName>
    <definedName name="_xlnm.Print_Area" localSheetId="28">'F16'!$A$1:$AG$330</definedName>
    <definedName name="_xlnm.Print_Area" localSheetId="29">'F17'!$B$1:$J$40</definedName>
    <definedName name="_xlnm.Print_Area" localSheetId="30">'F18'!$A$1:$H$57</definedName>
    <definedName name="_xlnm.Print_Area" localSheetId="2">'F2'!$A$1:$U$27</definedName>
    <definedName name="_xlnm.Print_Area" localSheetId="3">F2.1!$A$1:$T$22</definedName>
    <definedName name="_xlnm.Print_Area" localSheetId="4">F2.2!$B$1:$H$74</definedName>
    <definedName name="_xlnm.Print_Area" localSheetId="5">F2.3!$B$2:$H$40</definedName>
    <definedName name="_xlnm.Print_Area" localSheetId="6">F2.4!$B$1:$H$21</definedName>
    <definedName name="_xlnm.Print_Area" localSheetId="11">'F3'!$A$1:$T$18</definedName>
    <definedName name="_xlnm.Print_Area" localSheetId="12">F3.1!$B$1:$S$293</definedName>
    <definedName name="_xlnm.Print_Area" localSheetId="13">F3.2!$A$1:$AQ$320</definedName>
    <definedName name="_xlnm.Print_Area" localSheetId="14">F3.3!$A$1:$O$92</definedName>
    <definedName name="_xlnm.Print_Area" localSheetId="15">'F4'!$A$1:$S$110</definedName>
    <definedName name="_xlnm.Print_Area" localSheetId="16">'F4.1 (E) Existing'!$B$1:$W$103</definedName>
    <definedName name="_xlnm.Print_Area" localSheetId="17">'F4.1 (N) New'!$B$1:$AB$62</definedName>
    <definedName name="_xlnm.Print_Area" localSheetId="18">'F5'!$B$1:$R$116</definedName>
    <definedName name="_xlnm.Print_Area" localSheetId="35">'F6'!$B$1:$P$25</definedName>
    <definedName name="_xlnm.Print_Area" localSheetId="19">'F7'!$A$1:$T$23</definedName>
    <definedName name="_xlnm.Print_Area" localSheetId="20">'F8'!$B$1:$S$32</definedName>
    <definedName name="_xlnm.Print_Area" localSheetId="21">'F9'!$A$1:$L$21,'F9'!$A$25:$M$49</definedName>
    <definedName name="_xlnm.Print_Area" localSheetId="0">Index!$B$1:$D$34</definedName>
    <definedName name="_xlnm.Print_Area" localSheetId="8">'TB22-23'!$A$1:$H$590</definedName>
    <definedName name="_xlnm.Print_Area" localSheetId="9">'TB23-24'!$A$1:$I$595</definedName>
    <definedName name="_xlnm.Print_Area" localSheetId="10">'TB24-25_sept24'!$A$1:$I$560</definedName>
    <definedName name="_xlnm.Print_Area">#REF!</definedName>
    <definedName name="PRINT_AREA_MI" localSheetId="23">#REF!</definedName>
    <definedName name="PRINT_AREA_MI" localSheetId="24">#REF!</definedName>
    <definedName name="PRINT_AREA_MI" localSheetId="25">#REF!</definedName>
    <definedName name="PRINT_AREA_MI" localSheetId="11">#REF!</definedName>
    <definedName name="PRINT_AREA_MI">#REF!</definedName>
    <definedName name="_xlnm.Print_Titles" localSheetId="28">'F16'!$A:$B</definedName>
    <definedName name="_xlnm.Print_Titles" localSheetId="4">F2.2!$2:$4</definedName>
    <definedName name="_xlnm.Print_Titles" localSheetId="12">F3.1!$B:$C,F3.1!$2:$10</definedName>
    <definedName name="_xlnm.Print_Titles" localSheetId="13">F3.2!$B:$D,F3.2!$10:$12</definedName>
    <definedName name="_xlnm.Print_Titles" localSheetId="15">'F4'!$2:$4</definedName>
    <definedName name="_xlnm.Print_Titles" localSheetId="18">'F5'!$2:$4</definedName>
    <definedName name="_xlnm.Print_Titles" localSheetId="35">'F6'!$2:$4</definedName>
    <definedName name="q" localSheetId="20">'[14]A 3.7'!$I$35,'[14]A 3.7'!$I$44</definedName>
    <definedName name="q">'[15]A 3.7'!$I$35,'[15]A 3.7'!$I$44</definedName>
    <definedName name="S" localSheetId="23">#REF!</definedName>
    <definedName name="S" localSheetId="24">#REF!</definedName>
    <definedName name="S" localSheetId="25">#REF!</definedName>
    <definedName name="S" localSheetId="11">#REF!</definedName>
    <definedName name="S" localSheetId="20">#REF!</definedName>
    <definedName name="S">#REF!</definedName>
    <definedName name="SECOAL" localSheetId="23">#REF!</definedName>
    <definedName name="SECOAL" localSheetId="24">#REF!</definedName>
    <definedName name="SECOAL" localSheetId="25">#REF!</definedName>
    <definedName name="SECOAL" localSheetId="11">#REF!</definedName>
    <definedName name="SECOAL">#REF!</definedName>
    <definedName name="SEOREP" localSheetId="23">#REF!</definedName>
    <definedName name="SEOREP" localSheetId="24">#REF!</definedName>
    <definedName name="SEOREP" localSheetId="25">#REF!</definedName>
    <definedName name="SEOREP" localSheetId="11">#REF!</definedName>
    <definedName name="SEOREP">#REF!</definedName>
    <definedName name="SEREPORT" localSheetId="23">#REF!</definedName>
    <definedName name="SEREPORT" localSheetId="24">#REF!</definedName>
    <definedName name="SEREPORT" localSheetId="25">#REF!</definedName>
    <definedName name="SEREPORT" localSheetId="11">#REF!</definedName>
    <definedName name="SEREPORT">#REF!</definedName>
    <definedName name="shft1">[8]SUMMERY!$P$1</definedName>
    <definedName name="shftI" localSheetId="20">[16]SUMMERY!$P$1</definedName>
    <definedName name="shftI">[17]SUMMERY!$P$1</definedName>
    <definedName name="t" localSheetId="23">#REF!</definedName>
    <definedName name="t" localSheetId="24">#REF!</definedName>
    <definedName name="t" localSheetId="25">#REF!</definedName>
    <definedName name="t" localSheetId="11">#REF!</definedName>
    <definedName name="t" localSheetId="20">#REF!</definedName>
    <definedName name="t">#REF!</definedName>
    <definedName name="TaxPaid10">[7]Assumptions!$B$22</definedName>
    <definedName name="TaxRate11">[7]Assumptions!$B$20</definedName>
    <definedName name="Taxrate12" localSheetId="23">#REF!</definedName>
    <definedName name="Taxrate12" localSheetId="24">#REF!</definedName>
    <definedName name="Taxrate12" localSheetId="25">#REF!</definedName>
    <definedName name="Taxrate12" localSheetId="11">#REF!</definedName>
    <definedName name="Taxrate12" localSheetId="20">#REF!</definedName>
    <definedName name="Taxrate12">#REF!</definedName>
    <definedName name="TotalRoE10">[7]Assumptions!$B$23</definedName>
    <definedName name="tripping" localSheetId="23">#REF!</definedName>
    <definedName name="tripping" localSheetId="24">#REF!</definedName>
    <definedName name="tripping" localSheetId="25">#REF!</definedName>
    <definedName name="tripping" localSheetId="11">#REF!</definedName>
    <definedName name="tripping" localSheetId="20">#REF!</definedName>
    <definedName name="tripping">#REF!</definedName>
    <definedName name="uNIT1" localSheetId="23">#REF!</definedName>
    <definedName name="uNIT1" localSheetId="24">#REF!</definedName>
    <definedName name="uNIT1" localSheetId="25">#REF!</definedName>
    <definedName name="uNIT1" localSheetId="11">#REF!</definedName>
    <definedName name="uNIT1">#REF!</definedName>
    <definedName name="uNIT2" localSheetId="23">#REF!</definedName>
    <definedName name="uNIT2" localSheetId="24">#REF!</definedName>
    <definedName name="uNIT2" localSheetId="25">#REF!</definedName>
    <definedName name="uNIT2" localSheetId="11">#REF!</definedName>
    <definedName name="uNIT2">#REF!</definedName>
    <definedName name="uNIT3" localSheetId="23">#REF!</definedName>
    <definedName name="uNIT3" localSheetId="24">#REF!</definedName>
    <definedName name="uNIT3" localSheetId="25">#REF!</definedName>
    <definedName name="uNIT3" localSheetId="11">#REF!</definedName>
    <definedName name="uNIT3">#REF!</definedName>
    <definedName name="W" localSheetId="23">#REF!</definedName>
    <definedName name="W" localSheetId="24">#REF!</definedName>
    <definedName name="W" localSheetId="25">#REF!</definedName>
    <definedName name="W" localSheetId="11">#REF!</definedName>
    <definedName name="W">#REF!</definedName>
    <definedName name="WEEK_1A" localSheetId="23">#REF!</definedName>
    <definedName name="WEEK_1A" localSheetId="24">#REF!</definedName>
    <definedName name="WEEK_1A" localSheetId="25">#REF!</definedName>
    <definedName name="WEEK_1A" localSheetId="11">#REF!</definedName>
    <definedName name="WEEK_1A">#REF!</definedName>
    <definedName name="WEEK_1B" localSheetId="23">#REF!</definedName>
    <definedName name="WEEK_1B" localSheetId="24">#REF!</definedName>
    <definedName name="WEEK_1B" localSheetId="25">#REF!</definedName>
    <definedName name="WEEK_1B" localSheetId="11">#REF!</definedName>
    <definedName name="WEEK_1B">#REF!</definedName>
    <definedName name="WEEK_2A" localSheetId="23">#REF!</definedName>
    <definedName name="WEEK_2A" localSheetId="24">#REF!</definedName>
    <definedName name="WEEK_2A" localSheetId="25">#REF!</definedName>
    <definedName name="WEEK_2A" localSheetId="11">#REF!</definedName>
    <definedName name="WEEK_2A">#REF!</definedName>
    <definedName name="WEEK_2B" localSheetId="23">#REF!</definedName>
    <definedName name="WEEK_2B" localSheetId="24">#REF!</definedName>
    <definedName name="WEEK_2B" localSheetId="25">#REF!</definedName>
    <definedName name="WEEK_2B" localSheetId="11">#REF!</definedName>
    <definedName name="WEEK_2B">#REF!</definedName>
    <definedName name="Working_capital_Rate_of_Interest_for_FY_10_11" localSheetId="20">[4]Assumption_PwC!$C$116</definedName>
    <definedName name="Working_capital_Rate_of_Interest_for_FY_10_11">[5]Assumption_PwC!$C$116</definedName>
    <definedName name="X1_" localSheetId="23">#REF!</definedName>
    <definedName name="X1_" localSheetId="24">#REF!</definedName>
    <definedName name="X1_" localSheetId="25">#REF!</definedName>
    <definedName name="X1_" localSheetId="2">#REF!</definedName>
    <definedName name="X1_" localSheetId="11">#REF!</definedName>
    <definedName name="X1_" localSheetId="35">#REF!</definedName>
    <definedName name="X1_" localSheetId="20">#REF!</definedName>
    <definedName name="X1_">#REF!</definedName>
    <definedName name="X11__?___QUIT_" localSheetId="23">#REF!</definedName>
    <definedName name="X11__?___QUIT_" localSheetId="24">#REF!</definedName>
    <definedName name="X11__?___QUIT_" localSheetId="25">#REF!</definedName>
    <definedName name="X11__?___QUIT_" localSheetId="11">#REF!</definedName>
    <definedName name="X11__?___QUIT_">#REF!</definedName>
    <definedName name="xxxx" localSheetId="23" hidden="1">[18]CE!#REF!</definedName>
    <definedName name="xxxx" localSheetId="24" hidden="1">[18]CE!#REF!</definedName>
    <definedName name="xxxx" localSheetId="25" hidden="1">[18]CE!#REF!</definedName>
    <definedName name="xxxx" localSheetId="11" hidden="1">[18]CE!#REF!</definedName>
    <definedName name="xxxx" hidden="1">[18]CE!#REF!</definedName>
    <definedName name="YEAR" localSheetId="23">#REF!</definedName>
    <definedName name="YEAR" localSheetId="24">#REF!</definedName>
    <definedName name="YEAR" localSheetId="25">#REF!</definedName>
    <definedName name="YEAR" localSheetId="2">#REF!</definedName>
    <definedName name="YEAR" localSheetId="11">#REF!</definedName>
    <definedName name="YEAR" localSheetId="14">#REF!</definedName>
    <definedName name="YEAR" localSheetId="35">#REF!</definedName>
    <definedName name="YEAR">#REF!</definedName>
    <definedName name="Year1" localSheetId="23">#REF!</definedName>
    <definedName name="Year1" localSheetId="24">#REF!</definedName>
    <definedName name="Year1" localSheetId="25">#REF!</definedName>
    <definedName name="Year1" localSheetId="2">#REF!</definedName>
    <definedName name="Year1" localSheetId="11">#REF!</definedName>
    <definedName name="Year1" localSheetId="35">#REF!</definedName>
    <definedName name="Year1">#REF!</definedName>
  </definedNames>
  <calcPr calcId="12451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2"/>
  <c r="O21"/>
  <c r="O19"/>
  <c r="K20" i="58"/>
  <c r="H20"/>
  <c r="E20"/>
  <c r="Y22" i="99"/>
  <c r="T22"/>
  <c r="O22"/>
  <c r="J22"/>
  <c r="D209" i="89"/>
  <c r="AL169"/>
  <c r="D229"/>
  <c r="AL168"/>
  <c r="AL149"/>
  <c r="AJ113"/>
  <c r="E141" l="1"/>
  <c r="F141"/>
  <c r="G141"/>
  <c r="H141"/>
  <c r="I141"/>
  <c r="J141"/>
  <c r="K141"/>
  <c r="L141"/>
  <c r="M141"/>
  <c r="D141"/>
  <c r="D151"/>
  <c r="AN274" l="1"/>
  <c r="AN322" s="1"/>
  <c r="R12" i="87" s="1"/>
  <c r="R320" i="89"/>
  <c r="AS100"/>
  <c r="AT57"/>
  <c r="Q322"/>
  <c r="R322"/>
  <c r="M10" i="87" s="1"/>
  <c r="S322" i="89"/>
  <c r="O10" i="87" s="1"/>
  <c r="T322" i="89"/>
  <c r="P10" i="87" s="1"/>
  <c r="U322" i="89"/>
  <c r="Q10" i="87" s="1"/>
  <c r="V322" i="89"/>
  <c r="R10" i="87" s="1"/>
  <c r="W322" i="89"/>
  <c r="S10" i="87" s="1"/>
  <c r="X322" i="89"/>
  <c r="Y322"/>
  <c r="Z322"/>
  <c r="AA322"/>
  <c r="AB322"/>
  <c r="AC322"/>
  <c r="AD322"/>
  <c r="AE322"/>
  <c r="AF322"/>
  <c r="AG322"/>
  <c r="AH322"/>
  <c r="AI322"/>
  <c r="AK322"/>
  <c r="O12" i="87" s="1"/>
  <c r="AM322" i="89"/>
  <c r="Q12" i="87" s="1"/>
  <c r="AO322" i="89"/>
  <c r="S12" i="87" s="1"/>
  <c r="AP322" i="89"/>
  <c r="P322"/>
  <c r="P320"/>
  <c r="E17" i="3"/>
  <c r="AO320" i="89"/>
  <c r="AN320"/>
  <c r="AM320"/>
  <c r="AK320"/>
  <c r="AI320"/>
  <c r="AH320"/>
  <c r="AG320"/>
  <c r="AF320"/>
  <c r="AE320"/>
  <c r="AD320"/>
  <c r="AC320"/>
  <c r="AB320"/>
  <c r="AA320"/>
  <c r="Z320"/>
  <c r="Y320"/>
  <c r="X320"/>
  <c r="W320"/>
  <c r="V320"/>
  <c r="U320"/>
  <c r="T320"/>
  <c r="S320"/>
  <c r="D301"/>
  <c r="D285"/>
  <c r="D274"/>
  <c r="D271"/>
  <c r="D297" s="1"/>
  <c r="D262"/>
  <c r="D289" s="1"/>
  <c r="D317" s="1"/>
  <c r="D261"/>
  <c r="D288" s="1"/>
  <c r="D315" s="1"/>
  <c r="D258"/>
  <c r="D286" s="1"/>
  <c r="D245"/>
  <c r="D275" s="1"/>
  <c r="D300" s="1"/>
  <c r="D244"/>
  <c r="D263"/>
  <c r="D290" s="1"/>
  <c r="D318" s="1"/>
  <c r="D226"/>
  <c r="D259" s="1"/>
  <c r="D287" s="1"/>
  <c r="D313" s="1"/>
  <c r="D210"/>
  <c r="D247" s="1"/>
  <c r="D277" s="1"/>
  <c r="D303" s="1"/>
  <c r="D246"/>
  <c r="D276" s="1"/>
  <c r="D302" s="1"/>
  <c r="AL184"/>
  <c r="AL183"/>
  <c r="AL182"/>
  <c r="AL181"/>
  <c r="AL180"/>
  <c r="AL179"/>
  <c r="AL178"/>
  <c r="AL176"/>
  <c r="AL175"/>
  <c r="AL174"/>
  <c r="AL173"/>
  <c r="AL172"/>
  <c r="AL171"/>
  <c r="AL170"/>
  <c r="AL167"/>
  <c r="AL166"/>
  <c r="AL165"/>
  <c r="AL164"/>
  <c r="AL163"/>
  <c r="AL162"/>
  <c r="AL161"/>
  <c r="AL160"/>
  <c r="AL156"/>
  <c r="AL153"/>
  <c r="AL152"/>
  <c r="AL150"/>
  <c r="AL148"/>
  <c r="AL146"/>
  <c r="AJ133"/>
  <c r="AJ121"/>
  <c r="P112" i="88"/>
  <c r="S112" s="1"/>
  <c r="P111"/>
  <c r="S111" s="1"/>
  <c r="N88"/>
  <c r="N51"/>
  <c r="AJ322" i="89" l="1"/>
  <c r="M12" i="87" s="1"/>
  <c r="AJ320" i="89"/>
  <c r="AL322"/>
  <c r="P12" i="87" s="1"/>
  <c r="AL320" i="89"/>
  <c r="D312"/>
  <c r="E547" i="108" l="1"/>
  <c r="G14" i="44"/>
  <c r="H14" s="1"/>
  <c r="Q32" i="64" l="1"/>
  <c r="Q33"/>
  <c r="Q34"/>
  <c r="Q36"/>
  <c r="Q37"/>
  <c r="Q38"/>
  <c r="Q39"/>
  <c r="Q31"/>
  <c r="M32"/>
  <c r="M33"/>
  <c r="M34"/>
  <c r="M36"/>
  <c r="M37"/>
  <c r="M38"/>
  <c r="M39"/>
  <c r="M31"/>
  <c r="I32"/>
  <c r="I33"/>
  <c r="I34"/>
  <c r="I36"/>
  <c r="I37"/>
  <c r="I38"/>
  <c r="I39"/>
  <c r="I31"/>
  <c r="E32"/>
  <c r="E33"/>
  <c r="E34"/>
  <c r="E36"/>
  <c r="E37"/>
  <c r="E38"/>
  <c r="E39"/>
  <c r="E31"/>
  <c r="Q14"/>
  <c r="Q15"/>
  <c r="Q16"/>
  <c r="Q17"/>
  <c r="Q18"/>
  <c r="Q19"/>
  <c r="Q20"/>
  <c r="Q13"/>
  <c r="J40" i="99"/>
  <c r="E34"/>
  <c r="E35"/>
  <c r="H35" s="1"/>
  <c r="I35" s="1"/>
  <c r="E36"/>
  <c r="H36" s="1"/>
  <c r="I36" s="1"/>
  <c r="E37"/>
  <c r="H37" s="1"/>
  <c r="I37" s="1"/>
  <c r="E38"/>
  <c r="H38" s="1"/>
  <c r="I38" s="1"/>
  <c r="E39"/>
  <c r="H39" s="1"/>
  <c r="I39" s="1"/>
  <c r="E40"/>
  <c r="H40" s="1"/>
  <c r="I40" s="1"/>
  <c r="E33"/>
  <c r="H33" s="1"/>
  <c r="I33" s="1"/>
  <c r="H34"/>
  <c r="I34" s="1"/>
  <c r="H14"/>
  <c r="I14" s="1"/>
  <c r="M14" s="1"/>
  <c r="N14" s="1"/>
  <c r="R14" s="1"/>
  <c r="S14" s="1"/>
  <c r="W14" s="1"/>
  <c r="X14" s="1"/>
  <c r="AB14" s="1"/>
  <c r="H16"/>
  <c r="I16" s="1"/>
  <c r="M16" s="1"/>
  <c r="N16" s="1"/>
  <c r="R16" s="1"/>
  <c r="S16" s="1"/>
  <c r="W16" s="1"/>
  <c r="X16" s="1"/>
  <c r="AB16" s="1"/>
  <c r="H17"/>
  <c r="I17" s="1"/>
  <c r="M17" s="1"/>
  <c r="N17" s="1"/>
  <c r="R17" s="1"/>
  <c r="S17" s="1"/>
  <c r="W17" s="1"/>
  <c r="X17" s="1"/>
  <c r="AB17" s="1"/>
  <c r="H18"/>
  <c r="I18" s="1"/>
  <c r="H19"/>
  <c r="I19" s="1"/>
  <c r="M19" s="1"/>
  <c r="N19" s="1"/>
  <c r="R19" s="1"/>
  <c r="S19" s="1"/>
  <c r="W19" s="1"/>
  <c r="X19" s="1"/>
  <c r="AB19" s="1"/>
  <c r="H20"/>
  <c r="I20" s="1"/>
  <c r="M20" s="1"/>
  <c r="N20" s="1"/>
  <c r="R20" s="1"/>
  <c r="S20" s="1"/>
  <c r="W20" s="1"/>
  <c r="X20" s="1"/>
  <c r="AB20" s="1"/>
  <c r="H21"/>
  <c r="I21" s="1"/>
  <c r="M21" s="1"/>
  <c r="N21" s="1"/>
  <c r="R21" s="1"/>
  <c r="S21" s="1"/>
  <c r="W21" s="1"/>
  <c r="X21" s="1"/>
  <c r="AB21" s="1"/>
  <c r="H15"/>
  <c r="I15" s="1"/>
  <c r="M15" s="1"/>
  <c r="N15" l="1"/>
  <c r="R15" s="1"/>
  <c r="M40"/>
  <c r="N40" s="1"/>
  <c r="J36"/>
  <c r="T33"/>
  <c r="T35"/>
  <c r="J39"/>
  <c r="M39" s="1"/>
  <c r="N39" s="1"/>
  <c r="J35"/>
  <c r="M35" s="1"/>
  <c r="N35" s="1"/>
  <c r="Y33"/>
  <c r="O38"/>
  <c r="T38"/>
  <c r="Y38"/>
  <c r="O35"/>
  <c r="Y39"/>
  <c r="J33"/>
  <c r="M33" s="1"/>
  <c r="N33" s="1"/>
  <c r="R33" s="1"/>
  <c r="S33" s="1"/>
  <c r="J38"/>
  <c r="M38" s="1"/>
  <c r="N38" s="1"/>
  <c r="J34"/>
  <c r="M34" s="1"/>
  <c r="N34" s="1"/>
  <c r="O39"/>
  <c r="T39"/>
  <c r="Y35"/>
  <c r="M36"/>
  <c r="N36" s="1"/>
  <c r="O33"/>
  <c r="O40"/>
  <c r="O36"/>
  <c r="T40"/>
  <c r="T36"/>
  <c r="Y40"/>
  <c r="Y36"/>
  <c r="S15" l="1"/>
  <c r="O34"/>
  <c r="R40"/>
  <c r="S40" s="1"/>
  <c r="W40" s="1"/>
  <c r="X40" s="1"/>
  <c r="W33"/>
  <c r="X33" s="1"/>
  <c r="AB33" s="1"/>
  <c r="R39"/>
  <c r="S39" s="1"/>
  <c r="W39" s="1"/>
  <c r="X39" s="1"/>
  <c r="AB39" s="1"/>
  <c r="R34"/>
  <c r="S34" s="1"/>
  <c r="AB40"/>
  <c r="R35"/>
  <c r="S35" s="1"/>
  <c r="W35" s="1"/>
  <c r="X35" s="1"/>
  <c r="AB35" s="1"/>
  <c r="R38"/>
  <c r="S38" s="1"/>
  <c r="W38" s="1"/>
  <c r="X38" s="1"/>
  <c r="AB38" s="1"/>
  <c r="R36"/>
  <c r="S36" s="1"/>
  <c r="W36" s="1"/>
  <c r="X36" s="1"/>
  <c r="AB36" s="1"/>
  <c r="H21" i="95"/>
  <c r="I21"/>
  <c r="J21"/>
  <c r="E10"/>
  <c r="Q25" i="85"/>
  <c r="D76" i="86"/>
  <c r="P127"/>
  <c r="F65" s="1"/>
  <c r="P128"/>
  <c r="F66" s="1"/>
  <c r="P129"/>
  <c r="F67" s="1"/>
  <c r="P130"/>
  <c r="F68" s="1"/>
  <c r="P131"/>
  <c r="F69" s="1"/>
  <c r="P132"/>
  <c r="F70" s="1"/>
  <c r="P133"/>
  <c r="F71" s="1"/>
  <c r="P134"/>
  <c r="F72" s="1"/>
  <c r="P135"/>
  <c r="F73" s="1"/>
  <c r="P136"/>
  <c r="F74" s="1"/>
  <c r="P137"/>
  <c r="F75" s="1"/>
  <c r="P138"/>
  <c r="F76" s="1"/>
  <c r="P139"/>
  <c r="F77" s="1"/>
  <c r="P126"/>
  <c r="F64" s="1"/>
  <c r="P108"/>
  <c r="E65" s="1"/>
  <c r="P109"/>
  <c r="E66" s="1"/>
  <c r="P110"/>
  <c r="E67" s="1"/>
  <c r="P111"/>
  <c r="E68" s="1"/>
  <c r="P112"/>
  <c r="E69" s="1"/>
  <c r="P113"/>
  <c r="E70" s="1"/>
  <c r="P114"/>
  <c r="E71" s="1"/>
  <c r="P115"/>
  <c r="E72" s="1"/>
  <c r="P116"/>
  <c r="E73" s="1"/>
  <c r="P117"/>
  <c r="E74" s="1"/>
  <c r="P118"/>
  <c r="E75" s="1"/>
  <c r="P119"/>
  <c r="E76" s="1"/>
  <c r="P120"/>
  <c r="E77" s="1"/>
  <c r="P107"/>
  <c r="E64" s="1"/>
  <c r="P89"/>
  <c r="D65" s="1"/>
  <c r="P90"/>
  <c r="D66" s="1"/>
  <c r="P91"/>
  <c r="D67" s="1"/>
  <c r="P92"/>
  <c r="D68" s="1"/>
  <c r="P93"/>
  <c r="D69" s="1"/>
  <c r="P94"/>
  <c r="D70" s="1"/>
  <c r="P95"/>
  <c r="D71" s="1"/>
  <c r="P96"/>
  <c r="D72" s="1"/>
  <c r="P97"/>
  <c r="D73" s="1"/>
  <c r="P98"/>
  <c r="D74" s="1"/>
  <c r="P99"/>
  <c r="D75" s="1"/>
  <c r="P101"/>
  <c r="D77" s="1"/>
  <c r="P88"/>
  <c r="D64" s="1"/>
  <c r="Q107" i="85"/>
  <c r="Q106"/>
  <c r="Q105"/>
  <c r="Q104"/>
  <c r="Q103"/>
  <c r="Q102"/>
  <c r="Q101"/>
  <c r="Q100"/>
  <c r="Q99"/>
  <c r="Q98"/>
  <c r="Q97"/>
  <c r="Q96"/>
  <c r="Q95"/>
  <c r="Q94"/>
  <c r="Q93"/>
  <c r="Q92"/>
  <c r="Q91"/>
  <c r="Q71"/>
  <c r="Q72"/>
  <c r="Q73"/>
  <c r="Q74"/>
  <c r="Q75"/>
  <c r="Q76"/>
  <c r="Q77"/>
  <c r="Q78"/>
  <c r="Q79"/>
  <c r="Q80"/>
  <c r="Q81"/>
  <c r="Q82"/>
  <c r="Q83"/>
  <c r="Q84"/>
  <c r="Q85"/>
  <c r="Q86"/>
  <c r="Q70"/>
  <c r="Q44"/>
  <c r="Q43"/>
  <c r="Q42"/>
  <c r="Q41"/>
  <c r="R60" s="1"/>
  <c r="Q40"/>
  <c r="Q39"/>
  <c r="Q38"/>
  <c r="Q37"/>
  <c r="Q36"/>
  <c r="Q35"/>
  <c r="Q34"/>
  <c r="Q33"/>
  <c r="Q32"/>
  <c r="Q31"/>
  <c r="Q30"/>
  <c r="Q12"/>
  <c r="R50" s="1"/>
  <c r="Q13"/>
  <c r="Q14"/>
  <c r="Q15"/>
  <c r="R53" s="1"/>
  <c r="Q16"/>
  <c r="R54" s="1"/>
  <c r="Q17"/>
  <c r="Q18"/>
  <c r="Q19"/>
  <c r="R57" s="1"/>
  <c r="Q20"/>
  <c r="R58" s="1"/>
  <c r="Q21"/>
  <c r="Q22"/>
  <c r="Q23"/>
  <c r="R61" s="1"/>
  <c r="Q24"/>
  <c r="R62" s="1"/>
  <c r="Q11"/>
  <c r="R55" l="1"/>
  <c r="R52"/>
  <c r="R51"/>
  <c r="R56"/>
  <c r="R59"/>
  <c r="W15" i="99"/>
  <c r="X15" s="1"/>
  <c r="T34"/>
  <c r="W34" s="1"/>
  <c r="X34" s="1"/>
  <c r="R49" i="85"/>
  <c r="O23" i="99"/>
  <c r="O18" s="1"/>
  <c r="I35" i="64" s="1"/>
  <c r="I40" s="1"/>
  <c r="F33" i="3"/>
  <c r="O15" i="58"/>
  <c r="H33" i="3"/>
  <c r="Q15" i="58"/>
  <c r="Y23" i="99"/>
  <c r="Y18" s="1"/>
  <c r="Q35" i="64" s="1"/>
  <c r="Q40" s="1"/>
  <c r="R63" i="85"/>
  <c r="G33" i="3"/>
  <c r="P15" i="58"/>
  <c r="T23" i="99"/>
  <c r="T18" s="1"/>
  <c r="M35" i="64" s="1"/>
  <c r="M40" s="1"/>
  <c r="D81" i="86"/>
  <c r="F81"/>
  <c r="E81"/>
  <c r="AB15" i="99" l="1"/>
  <c r="Y34"/>
  <c r="AB34" s="1"/>
  <c r="H128" i="85"/>
  <c r="G128"/>
  <c r="H127"/>
  <c r="G127"/>
  <c r="Q127" s="1"/>
  <c r="H126"/>
  <c r="G126"/>
  <c r="F126"/>
  <c r="E126"/>
  <c r="D126"/>
  <c r="H125"/>
  <c r="G125"/>
  <c r="F125"/>
  <c r="E125"/>
  <c r="D125"/>
  <c r="H124"/>
  <c r="G124"/>
  <c r="F124"/>
  <c r="E124"/>
  <c r="D124"/>
  <c r="H123"/>
  <c r="G123"/>
  <c r="F123"/>
  <c r="E123"/>
  <c r="D123"/>
  <c r="H122"/>
  <c r="G122"/>
  <c r="F122"/>
  <c r="E122"/>
  <c r="D122"/>
  <c r="H121"/>
  <c r="G121"/>
  <c r="F121"/>
  <c r="E121"/>
  <c r="D121"/>
  <c r="H120"/>
  <c r="G120"/>
  <c r="F120"/>
  <c r="E120"/>
  <c r="D120"/>
  <c r="H119"/>
  <c r="G119"/>
  <c r="F119"/>
  <c r="E119"/>
  <c r="D119"/>
  <c r="H118"/>
  <c r="G118"/>
  <c r="F118"/>
  <c r="E118"/>
  <c r="D118"/>
  <c r="H117"/>
  <c r="G117"/>
  <c r="F117"/>
  <c r="E117"/>
  <c r="D117"/>
  <c r="H116"/>
  <c r="G116"/>
  <c r="F116"/>
  <c r="E116"/>
  <c r="D116"/>
  <c r="H115"/>
  <c r="G115"/>
  <c r="F115"/>
  <c r="E115"/>
  <c r="D115"/>
  <c r="H114"/>
  <c r="G114"/>
  <c r="F114"/>
  <c r="E114"/>
  <c r="D114"/>
  <c r="H113"/>
  <c r="G113"/>
  <c r="F113"/>
  <c r="E113"/>
  <c r="D113"/>
  <c r="H112"/>
  <c r="G112"/>
  <c r="F112"/>
  <c r="E112"/>
  <c r="D112"/>
  <c r="O63"/>
  <c r="N63"/>
  <c r="M63"/>
  <c r="L63"/>
  <c r="K63"/>
  <c r="O62"/>
  <c r="N62"/>
  <c r="M62"/>
  <c r="L62"/>
  <c r="K62"/>
  <c r="J62"/>
  <c r="I62"/>
  <c r="H62"/>
  <c r="G62"/>
  <c r="F62"/>
  <c r="E62"/>
  <c r="D62"/>
  <c r="O61"/>
  <c r="N61"/>
  <c r="M61"/>
  <c r="L61"/>
  <c r="K61"/>
  <c r="J61"/>
  <c r="I61"/>
  <c r="H61"/>
  <c r="G61"/>
  <c r="F61"/>
  <c r="E61"/>
  <c r="D61"/>
  <c r="O60"/>
  <c r="N60"/>
  <c r="M60"/>
  <c r="L60"/>
  <c r="K60"/>
  <c r="J60"/>
  <c r="I60"/>
  <c r="H60"/>
  <c r="G60"/>
  <c r="F60"/>
  <c r="E60"/>
  <c r="D60"/>
  <c r="O59"/>
  <c r="N59"/>
  <c r="M59"/>
  <c r="L59"/>
  <c r="K59"/>
  <c r="J59"/>
  <c r="I59"/>
  <c r="H59"/>
  <c r="G59"/>
  <c r="F59"/>
  <c r="E59"/>
  <c r="D59"/>
  <c r="O58"/>
  <c r="N58"/>
  <c r="M58"/>
  <c r="L58"/>
  <c r="K58"/>
  <c r="J58"/>
  <c r="I58"/>
  <c r="H58"/>
  <c r="G58"/>
  <c r="F58"/>
  <c r="E58"/>
  <c r="D58"/>
  <c r="O57"/>
  <c r="N57"/>
  <c r="M57"/>
  <c r="L57"/>
  <c r="K57"/>
  <c r="J57"/>
  <c r="I57"/>
  <c r="H57"/>
  <c r="G57"/>
  <c r="F57"/>
  <c r="E57"/>
  <c r="D57"/>
  <c r="O56"/>
  <c r="N56"/>
  <c r="M56"/>
  <c r="L56"/>
  <c r="K56"/>
  <c r="J56"/>
  <c r="I56"/>
  <c r="H56"/>
  <c r="G56"/>
  <c r="F56"/>
  <c r="E56"/>
  <c r="D56"/>
  <c r="O55"/>
  <c r="N55"/>
  <c r="M55"/>
  <c r="L55"/>
  <c r="K55"/>
  <c r="J55"/>
  <c r="I55"/>
  <c r="H55"/>
  <c r="G55"/>
  <c r="F55"/>
  <c r="E55"/>
  <c r="D55"/>
  <c r="O54"/>
  <c r="N54"/>
  <c r="M54"/>
  <c r="L54"/>
  <c r="K54"/>
  <c r="J54"/>
  <c r="I54"/>
  <c r="H54"/>
  <c r="G54"/>
  <c r="F54"/>
  <c r="E54"/>
  <c r="D54"/>
  <c r="O53"/>
  <c r="N53"/>
  <c r="M53"/>
  <c r="L53"/>
  <c r="K53"/>
  <c r="J53"/>
  <c r="I53"/>
  <c r="H53"/>
  <c r="G53"/>
  <c r="F53"/>
  <c r="E53"/>
  <c r="D53"/>
  <c r="O52"/>
  <c r="N52"/>
  <c r="M52"/>
  <c r="L52"/>
  <c r="K52"/>
  <c r="J52"/>
  <c r="I52"/>
  <c r="H52"/>
  <c r="G52"/>
  <c r="F52"/>
  <c r="E52"/>
  <c r="D52"/>
  <c r="O51"/>
  <c r="N51"/>
  <c r="M51"/>
  <c r="L51"/>
  <c r="K51"/>
  <c r="J51"/>
  <c r="I51"/>
  <c r="H51"/>
  <c r="G51"/>
  <c r="F51"/>
  <c r="E51"/>
  <c r="D51"/>
  <c r="O50"/>
  <c r="N50"/>
  <c r="M50"/>
  <c r="L50"/>
  <c r="K50"/>
  <c r="J50"/>
  <c r="I50"/>
  <c r="H50"/>
  <c r="G50"/>
  <c r="F50"/>
  <c r="E50"/>
  <c r="D50"/>
  <c r="O49"/>
  <c r="N49"/>
  <c r="M49"/>
  <c r="L49"/>
  <c r="K49"/>
  <c r="J49"/>
  <c r="I49"/>
  <c r="H49"/>
  <c r="G49"/>
  <c r="F49"/>
  <c r="E49"/>
  <c r="D49"/>
  <c r="P44"/>
  <c r="P43"/>
  <c r="P42"/>
  <c r="P41"/>
  <c r="P40"/>
  <c r="P39"/>
  <c r="P38"/>
  <c r="P37"/>
  <c r="P36"/>
  <c r="P35"/>
  <c r="P34"/>
  <c r="P33"/>
  <c r="P32"/>
  <c r="P31"/>
  <c r="P30"/>
  <c r="Q50" l="1"/>
  <c r="G65" i="86" s="1"/>
  <c r="Q52" i="85"/>
  <c r="G67" i="86" s="1"/>
  <c r="Q53" i="85"/>
  <c r="G68" i="86" s="1"/>
  <c r="Q55" i="85"/>
  <c r="G70" i="86" s="1"/>
  <c r="Q57" i="85"/>
  <c r="G72" i="86" s="1"/>
  <c r="Q59" i="85"/>
  <c r="G74" i="86" s="1"/>
  <c r="Q61" i="85"/>
  <c r="G76" i="86" s="1"/>
  <c r="Q62" i="85"/>
  <c r="G77" i="86" s="1"/>
  <c r="Q119" i="85"/>
  <c r="Q51"/>
  <c r="G66" i="86" s="1"/>
  <c r="Q54" i="85"/>
  <c r="G69" i="86" s="1"/>
  <c r="Q58" i="85"/>
  <c r="G73" i="86" s="1"/>
  <c r="Q63" i="85"/>
  <c r="G78" i="86" s="1"/>
  <c r="Q115" i="85"/>
  <c r="Q123"/>
  <c r="Q128"/>
  <c r="Q49"/>
  <c r="G64" i="86" s="1"/>
  <c r="Q112" i="85"/>
  <c r="Q116"/>
  <c r="Q120"/>
  <c r="Q124"/>
  <c r="Q56"/>
  <c r="G71" i="86" s="1"/>
  <c r="Q60" i="85"/>
  <c r="G75" i="86" s="1"/>
  <c r="Q113" i="85"/>
  <c r="Q117"/>
  <c r="Q121"/>
  <c r="Q125"/>
  <c r="Q114"/>
  <c r="Q118"/>
  <c r="Q122"/>
  <c r="Q126"/>
  <c r="P63"/>
  <c r="P49"/>
  <c r="P50"/>
  <c r="P51"/>
  <c r="P52"/>
  <c r="P53"/>
  <c r="P54"/>
  <c r="P55"/>
  <c r="P56"/>
  <c r="P57"/>
  <c r="P58"/>
  <c r="P59"/>
  <c r="P60"/>
  <c r="P61"/>
  <c r="P62"/>
  <c r="Q129" l="1"/>
  <c r="R125" s="1"/>
  <c r="E24" i="86" s="1"/>
  <c r="G24" s="1"/>
  <c r="I24" s="1"/>
  <c r="K24" s="1"/>
  <c r="M24" s="1"/>
  <c r="G81"/>
  <c r="P11" i="85"/>
  <c r="P12"/>
  <c r="P13"/>
  <c r="P14"/>
  <c r="P15"/>
  <c r="P16"/>
  <c r="P17"/>
  <c r="P18"/>
  <c r="P19"/>
  <c r="P20"/>
  <c r="P21"/>
  <c r="P22"/>
  <c r="P23"/>
  <c r="P24"/>
  <c r="P25"/>
  <c r="O73" i="92"/>
  <c r="N73"/>
  <c r="L73"/>
  <c r="J73"/>
  <c r="H73"/>
  <c r="H75" s="1"/>
  <c r="F73"/>
  <c r="E73"/>
  <c r="E75" s="1"/>
  <c r="D73"/>
  <c r="P72"/>
  <c r="P71"/>
  <c r="P70"/>
  <c r="P69"/>
  <c r="P68"/>
  <c r="P67"/>
  <c r="P66"/>
  <c r="P65"/>
  <c r="P64"/>
  <c r="P63"/>
  <c r="P62"/>
  <c r="P61"/>
  <c r="P60"/>
  <c r="P59"/>
  <c r="O56"/>
  <c r="N56"/>
  <c r="P56" s="1"/>
  <c r="L56"/>
  <c r="J56"/>
  <c r="H56"/>
  <c r="F56"/>
  <c r="D56"/>
  <c r="P55"/>
  <c r="P54"/>
  <c r="P53"/>
  <c r="P52"/>
  <c r="F75" l="1"/>
  <c r="O75"/>
  <c r="R126" i="85"/>
  <c r="E25" i="86" s="1"/>
  <c r="G25" s="1"/>
  <c r="I25" s="1"/>
  <c r="K25" s="1"/>
  <c r="M25" s="1"/>
  <c r="R124" i="85"/>
  <c r="E23" i="86" s="1"/>
  <c r="G23" s="1"/>
  <c r="I23" s="1"/>
  <c r="K23" s="1"/>
  <c r="M23" s="1"/>
  <c r="R113" i="85"/>
  <c r="E12" i="86" s="1"/>
  <c r="G12" s="1"/>
  <c r="I12" s="1"/>
  <c r="K12" s="1"/>
  <c r="M12" s="1"/>
  <c r="R114" i="85"/>
  <c r="E13" i="86" s="1"/>
  <c r="G13" s="1"/>
  <c r="I13" s="1"/>
  <c r="K13" s="1"/>
  <c r="M13" s="1"/>
  <c r="D75" i="92"/>
  <c r="R116" i="85"/>
  <c r="E15" i="86" s="1"/>
  <c r="G15" s="1"/>
  <c r="I15" s="1"/>
  <c r="K15" s="1"/>
  <c r="M15" s="1"/>
  <c r="R120" i="85"/>
  <c r="E19" i="86" s="1"/>
  <c r="G19" s="1"/>
  <c r="I19" s="1"/>
  <c r="K19" s="1"/>
  <c r="M19" s="1"/>
  <c r="J75" i="92"/>
  <c r="L75"/>
  <c r="R117" i="85"/>
  <c r="E16" i="86" s="1"/>
  <c r="G16" s="1"/>
  <c r="I16" s="1"/>
  <c r="K16" s="1"/>
  <c r="M16" s="1"/>
  <c r="R121" i="85"/>
  <c r="E20" i="86" s="1"/>
  <c r="G20" s="1"/>
  <c r="I20" s="1"/>
  <c r="K20" s="1"/>
  <c r="M20" s="1"/>
  <c r="N75" i="92"/>
  <c r="H81" i="86"/>
  <c r="D29" s="1"/>
  <c r="G82"/>
  <c r="G84"/>
  <c r="G83"/>
  <c r="R112" i="85"/>
  <c r="E11" i="86" s="1"/>
  <c r="G11" s="1"/>
  <c r="I11" s="1"/>
  <c r="K11" s="1"/>
  <c r="M11" s="1"/>
  <c r="R128" i="85"/>
  <c r="E27" i="86" s="1"/>
  <c r="G27" s="1"/>
  <c r="I27" s="1"/>
  <c r="K27" s="1"/>
  <c r="M27" s="1"/>
  <c r="R115" i="85"/>
  <c r="E14" i="86" s="1"/>
  <c r="G14" s="1"/>
  <c r="I14" s="1"/>
  <c r="K14" s="1"/>
  <c r="M14" s="1"/>
  <c r="R119" i="85"/>
  <c r="E18" i="86" s="1"/>
  <c r="G18" s="1"/>
  <c r="I18" s="1"/>
  <c r="K18" s="1"/>
  <c r="M18" s="1"/>
  <c r="R127" i="85"/>
  <c r="E26" i="86" s="1"/>
  <c r="G26" s="1"/>
  <c r="I26" s="1"/>
  <c r="K26" s="1"/>
  <c r="M26" s="1"/>
  <c r="R123" i="85"/>
  <c r="E22" i="86" s="1"/>
  <c r="G22" s="1"/>
  <c r="I22" s="1"/>
  <c r="K22" s="1"/>
  <c r="M22" s="1"/>
  <c r="R122" i="85"/>
  <c r="E21" i="86" s="1"/>
  <c r="G21" s="1"/>
  <c r="I21" s="1"/>
  <c r="K21" s="1"/>
  <c r="M21" s="1"/>
  <c r="R118" i="85"/>
  <c r="E17" i="86" s="1"/>
  <c r="G17" s="1"/>
  <c r="I17" s="1"/>
  <c r="K17" s="1"/>
  <c r="M17" s="1"/>
  <c r="P73" i="92"/>
  <c r="P75" s="1"/>
  <c r="F29" i="86" l="1"/>
  <c r="D27"/>
  <c r="D17"/>
  <c r="D22"/>
  <c r="D12"/>
  <c r="D15"/>
  <c r="D18"/>
  <c r="D25"/>
  <c r="D16"/>
  <c r="D24"/>
  <c r="D19"/>
  <c r="D11"/>
  <c r="D20"/>
  <c r="D23"/>
  <c r="D13"/>
  <c r="D14"/>
  <c r="D21"/>
  <c r="D26"/>
  <c r="E40" i="3"/>
  <c r="F40"/>
  <c r="G40"/>
  <c r="H40"/>
  <c r="F34"/>
  <c r="G34"/>
  <c r="H34"/>
  <c r="O15" i="2"/>
  <c r="O16"/>
  <c r="N11"/>
  <c r="O11" s="1"/>
  <c r="E48" i="84"/>
  <c r="F48"/>
  <c r="G48"/>
  <c r="H48"/>
  <c r="I48"/>
  <c r="D48"/>
  <c r="E32"/>
  <c r="F32"/>
  <c r="G32"/>
  <c r="H32"/>
  <c r="I32"/>
  <c r="J32"/>
  <c r="K32"/>
  <c r="L32"/>
  <c r="M32"/>
  <c r="N32"/>
  <c r="O32"/>
  <c r="D32"/>
  <c r="E13"/>
  <c r="F13"/>
  <c r="G13"/>
  <c r="H13"/>
  <c r="I13"/>
  <c r="J13"/>
  <c r="K13"/>
  <c r="L13"/>
  <c r="M13"/>
  <c r="N13"/>
  <c r="O13"/>
  <c r="D13"/>
  <c r="D48" i="76"/>
  <c r="D47"/>
  <c r="D45"/>
  <c r="D40"/>
  <c r="D41"/>
  <c r="D39"/>
  <c r="D38"/>
  <c r="D37"/>
  <c r="D21"/>
  <c r="D20"/>
  <c r="D18"/>
  <c r="D13"/>
  <c r="D14"/>
  <c r="D12"/>
  <c r="D11"/>
  <c r="D10"/>
  <c r="J25" i="14"/>
  <c r="G25"/>
  <c r="D25"/>
  <c r="D17" i="3"/>
  <c r="D12"/>
  <c r="D14" s="1"/>
  <c r="D18" s="1"/>
  <c r="J12"/>
  <c r="G14"/>
  <c r="J9" s="1"/>
  <c r="J17" s="1"/>
  <c r="J10" i="75"/>
  <c r="G10"/>
  <c r="D10"/>
  <c r="S14" i="87"/>
  <c r="R14"/>
  <c r="Q14"/>
  <c r="P14"/>
  <c r="O14"/>
  <c r="N14"/>
  <c r="M14"/>
  <c r="L14"/>
  <c r="K14"/>
  <c r="J14"/>
  <c r="I14"/>
  <c r="G14"/>
  <c r="F14"/>
  <c r="D14"/>
  <c r="K14" i="79"/>
  <c r="H14"/>
  <c r="E14"/>
  <c r="K17" i="2"/>
  <c r="J16"/>
  <c r="J15"/>
  <c r="G15"/>
  <c r="G16"/>
  <c r="P53" i="84"/>
  <c r="P36"/>
  <c r="P18"/>
  <c r="P28"/>
  <c r="P10"/>
  <c r="R10"/>
  <c r="R20" s="1"/>
  <c r="J13" i="77"/>
  <c r="P37" i="84"/>
  <c r="P19"/>
  <c r="F32" i="82"/>
  <c r="E32"/>
  <c r="D32"/>
  <c r="J133" i="95"/>
  <c r="D38" s="1"/>
  <c r="J241"/>
  <c r="E38" s="1"/>
  <c r="E16" s="1"/>
  <c r="F16" s="1"/>
  <c r="G16" s="1"/>
  <c r="H16" s="1"/>
  <c r="I16" s="1"/>
  <c r="J16" s="1"/>
  <c r="H12" i="87"/>
  <c r="E32" i="95" s="1"/>
  <c r="H10" i="87"/>
  <c r="E12"/>
  <c r="E14" s="1"/>
  <c r="E10"/>
  <c r="P13" i="84" l="1"/>
  <c r="P32"/>
  <c r="T35" s="1"/>
  <c r="E25" i="76"/>
  <c r="J25" s="1"/>
  <c r="F13" i="77" s="1"/>
  <c r="D32" i="95"/>
  <c r="H29" i="86"/>
  <c r="F12"/>
  <c r="F20"/>
  <c r="F14"/>
  <c r="F25"/>
  <c r="F27"/>
  <c r="F23"/>
  <c r="F19"/>
  <c r="F16"/>
  <c r="F17"/>
  <c r="F22"/>
  <c r="F13"/>
  <c r="F18"/>
  <c r="F24"/>
  <c r="F26"/>
  <c r="F11"/>
  <c r="F15"/>
  <c r="F21"/>
  <c r="H14" i="87"/>
  <c r="D19" i="3"/>
  <c r="J14"/>
  <c r="J18" s="1"/>
  <c r="J19" s="1"/>
  <c r="B30" i="95"/>
  <c r="B31" s="1"/>
  <c r="B32" s="1"/>
  <c r="B33" s="1"/>
  <c r="J43" i="76"/>
  <c r="J42"/>
  <c r="F43"/>
  <c r="F42"/>
  <c r="F15"/>
  <c r="F16"/>
  <c r="J15"/>
  <c r="J16"/>
  <c r="D44"/>
  <c r="D46" s="1"/>
  <c r="D50" s="1"/>
  <c r="D54" s="1"/>
  <c r="D17"/>
  <c r="D19" s="1"/>
  <c r="D23" s="1"/>
  <c r="D27" s="1"/>
  <c r="H17" i="2"/>
  <c r="H19" s="1"/>
  <c r="H23" s="1"/>
  <c r="K19"/>
  <c r="K23" s="1"/>
  <c r="L17"/>
  <c r="L19" s="1"/>
  <c r="L23" s="1"/>
  <c r="M17"/>
  <c r="M19" s="1"/>
  <c r="M23" s="1"/>
  <c r="E17"/>
  <c r="E19" s="1"/>
  <c r="E23" s="1"/>
  <c r="I11"/>
  <c r="J11" s="1"/>
  <c r="F11"/>
  <c r="G11" s="1"/>
  <c r="J18" i="77"/>
  <c r="K18" s="1"/>
  <c r="L18" s="1"/>
  <c r="M18" s="1"/>
  <c r="G19"/>
  <c r="I19"/>
  <c r="G61"/>
  <c r="H18" s="1"/>
  <c r="G47"/>
  <c r="F18" s="1"/>
  <c r="K12" i="3"/>
  <c r="H12"/>
  <c r="E12"/>
  <c r="E14" s="1"/>
  <c r="D40"/>
  <c r="E64"/>
  <c r="F64"/>
  <c r="D64"/>
  <c r="D65" s="1"/>
  <c r="E58"/>
  <c r="F58"/>
  <c r="D58"/>
  <c r="D60" s="1"/>
  <c r="E56" s="1"/>
  <c r="B66"/>
  <c r="B67" s="1"/>
  <c r="B57"/>
  <c r="B58" s="1"/>
  <c r="B59" s="1"/>
  <c r="B60" s="1"/>
  <c r="M20" i="58"/>
  <c r="N20" s="1"/>
  <c r="O20" s="1"/>
  <c r="P20" s="1"/>
  <c r="Q20" s="1"/>
  <c r="K16"/>
  <c r="H16"/>
  <c r="E16"/>
  <c r="G14" i="64"/>
  <c r="H14" s="1"/>
  <c r="K14" s="1"/>
  <c r="L14" s="1"/>
  <c r="O14" s="1"/>
  <c r="P14" s="1"/>
  <c r="S14" s="1"/>
  <c r="D32" s="1"/>
  <c r="G32" s="1"/>
  <c r="H32" s="1"/>
  <c r="K32" s="1"/>
  <c r="L32" s="1"/>
  <c r="O32" s="1"/>
  <c r="P32" s="1"/>
  <c r="S32" s="1"/>
  <c r="G15"/>
  <c r="H15" s="1"/>
  <c r="K15" s="1"/>
  <c r="L15" s="1"/>
  <c r="O15" s="1"/>
  <c r="P15" s="1"/>
  <c r="S15" s="1"/>
  <c r="D33" s="1"/>
  <c r="G33" s="1"/>
  <c r="H33" s="1"/>
  <c r="K33" s="1"/>
  <c r="L33" s="1"/>
  <c r="O33" s="1"/>
  <c r="P33" s="1"/>
  <c r="S33" s="1"/>
  <c r="G16"/>
  <c r="H16" s="1"/>
  <c r="K16" s="1"/>
  <c r="L16" s="1"/>
  <c r="O16" s="1"/>
  <c r="P16" s="1"/>
  <c r="S16" s="1"/>
  <c r="D34" s="1"/>
  <c r="G34" s="1"/>
  <c r="H34" s="1"/>
  <c r="K34" s="1"/>
  <c r="L34" s="1"/>
  <c r="O34" s="1"/>
  <c r="P34" s="1"/>
  <c r="S34" s="1"/>
  <c r="G17"/>
  <c r="H17" s="1"/>
  <c r="K17" s="1"/>
  <c r="L17" s="1"/>
  <c r="O17" s="1"/>
  <c r="P17" s="1"/>
  <c r="S17" s="1"/>
  <c r="D35" s="1"/>
  <c r="G18"/>
  <c r="H18" s="1"/>
  <c r="K18" s="1"/>
  <c r="L18" s="1"/>
  <c r="O18" s="1"/>
  <c r="P18" s="1"/>
  <c r="S18" s="1"/>
  <c r="D36" s="1"/>
  <c r="G36" s="1"/>
  <c r="H36" s="1"/>
  <c r="K36" s="1"/>
  <c r="L36" s="1"/>
  <c r="O36" s="1"/>
  <c r="P36" s="1"/>
  <c r="S36" s="1"/>
  <c r="G19"/>
  <c r="H19" s="1"/>
  <c r="K19" s="1"/>
  <c r="L19" s="1"/>
  <c r="O19" s="1"/>
  <c r="P19" s="1"/>
  <c r="S19" s="1"/>
  <c r="D37" s="1"/>
  <c r="G37" s="1"/>
  <c r="H37" s="1"/>
  <c r="K37" s="1"/>
  <c r="L37" s="1"/>
  <c r="O37" s="1"/>
  <c r="P37" s="1"/>
  <c r="S37" s="1"/>
  <c r="G20"/>
  <c r="H20" s="1"/>
  <c r="K20" s="1"/>
  <c r="L20" s="1"/>
  <c r="O20" s="1"/>
  <c r="P20" s="1"/>
  <c r="S20" s="1"/>
  <c r="D38" s="1"/>
  <c r="G38" s="1"/>
  <c r="H38" s="1"/>
  <c r="K38" s="1"/>
  <c r="L38" s="1"/>
  <c r="O38" s="1"/>
  <c r="P38" s="1"/>
  <c r="S38" s="1"/>
  <c r="G21"/>
  <c r="H21" s="1"/>
  <c r="K21" s="1"/>
  <c r="L21" s="1"/>
  <c r="O21" s="1"/>
  <c r="P21" s="1"/>
  <c r="G13"/>
  <c r="H13" s="1"/>
  <c r="K13" s="1"/>
  <c r="L13" s="1"/>
  <c r="O13" s="1"/>
  <c r="P13" s="1"/>
  <c r="S13" s="1"/>
  <c r="D31" s="1"/>
  <c r="G31" s="1"/>
  <c r="H31" s="1"/>
  <c r="K31" s="1"/>
  <c r="L31" s="1"/>
  <c r="O31" s="1"/>
  <c r="P31" s="1"/>
  <c r="S31" s="1"/>
  <c r="G22"/>
  <c r="H22" s="1"/>
  <c r="K22" s="1"/>
  <c r="L22" s="1"/>
  <c r="O22" s="1"/>
  <c r="P22" s="1"/>
  <c r="G13" i="58"/>
  <c r="F17"/>
  <c r="F19" s="1"/>
  <c r="F21" s="1"/>
  <c r="I17"/>
  <c r="I19" s="1"/>
  <c r="I21" s="1"/>
  <c r="L17"/>
  <c r="L19" s="1"/>
  <c r="L21" s="1"/>
  <c r="D17"/>
  <c r="D19" s="1"/>
  <c r="D21" s="1"/>
  <c r="N41" i="80"/>
  <c r="L30"/>
  <c r="J30"/>
  <c r="J35"/>
  <c r="J36" s="1"/>
  <c r="M26" i="75"/>
  <c r="M10" s="1"/>
  <c r="D14" i="80"/>
  <c r="F18" i="82"/>
  <c r="E18"/>
  <c r="R10" i="76"/>
  <c r="R9"/>
  <c r="R12"/>
  <c r="R11"/>
  <c r="P11"/>
  <c r="P12"/>
  <c r="P13"/>
  <c r="P14"/>
  <c r="P10"/>
  <c r="P9"/>
  <c r="P17" s="1"/>
  <c r="Q14"/>
  <c r="Q13"/>
  <c r="R13" s="1"/>
  <c r="J29" i="90"/>
  <c r="K29"/>
  <c r="L29"/>
  <c r="M29"/>
  <c r="N29"/>
  <c r="O29"/>
  <c r="I29"/>
  <c r="E60" i="3" l="1"/>
  <c r="F56" s="1"/>
  <c r="R17" i="76"/>
  <c r="R19" s="1"/>
  <c r="R14"/>
  <c r="R22" s="1"/>
  <c r="P22"/>
  <c r="E18" i="3"/>
  <c r="E19" s="1"/>
  <c r="H9"/>
  <c r="H17" s="1"/>
  <c r="F65"/>
  <c r="F60"/>
  <c r="E66"/>
  <c r="N10" i="75"/>
  <c r="N14" i="2"/>
  <c r="O14" s="1"/>
  <c r="E12" i="76"/>
  <c r="D66" i="3"/>
  <c r="D67" s="1"/>
  <c r="O10" i="75"/>
  <c r="G17" i="58"/>
  <c r="J13" s="1"/>
  <c r="J17" s="1"/>
  <c r="E17"/>
  <c r="H13" s="1"/>
  <c r="E65" i="3"/>
  <c r="J29" i="86"/>
  <c r="H14"/>
  <c r="H27"/>
  <c r="H11"/>
  <c r="H20"/>
  <c r="H19"/>
  <c r="H21"/>
  <c r="H23"/>
  <c r="H13"/>
  <c r="H25"/>
  <c r="H16"/>
  <c r="H18"/>
  <c r="H12"/>
  <c r="H26"/>
  <c r="H15"/>
  <c r="H17"/>
  <c r="H22"/>
  <c r="H24"/>
  <c r="E39" i="76"/>
  <c r="J29" i="80"/>
  <c r="N18" i="77"/>
  <c r="E19" i="58" l="1"/>
  <c r="E21" s="1"/>
  <c r="F12" i="2" s="1"/>
  <c r="E13" i="76" s="1"/>
  <c r="R24"/>
  <c r="E67" i="3"/>
  <c r="J25" i="80"/>
  <c r="K25" s="1"/>
  <c r="L25" s="1"/>
  <c r="L29" s="1"/>
  <c r="N29" s="1"/>
  <c r="P29" s="1"/>
  <c r="R29" s="1"/>
  <c r="T29" s="1"/>
  <c r="R25" i="76"/>
  <c r="P29" s="1"/>
  <c r="Q29" s="1"/>
  <c r="L29" i="86"/>
  <c r="J22"/>
  <c r="J13"/>
  <c r="J11"/>
  <c r="J14"/>
  <c r="J16"/>
  <c r="J15"/>
  <c r="J17"/>
  <c r="J20"/>
  <c r="J21"/>
  <c r="J18"/>
  <c r="J23"/>
  <c r="J25"/>
  <c r="J26"/>
  <c r="J12"/>
  <c r="J19"/>
  <c r="J27"/>
  <c r="J24"/>
  <c r="P14" i="2"/>
  <c r="P10" i="75"/>
  <c r="G19" i="58"/>
  <c r="G21" s="1"/>
  <c r="D32" i="3"/>
  <c r="D41" s="1"/>
  <c r="F66"/>
  <c r="F67" s="1"/>
  <c r="J39" i="76"/>
  <c r="F39"/>
  <c r="H14" i="3"/>
  <c r="R20" i="76"/>
  <c r="O29" s="1"/>
  <c r="O30" s="1"/>
  <c r="F12" i="77" s="1"/>
  <c r="I25" i="80"/>
  <c r="H17" i="58"/>
  <c r="K13" s="1"/>
  <c r="K17" s="1"/>
  <c r="J12" i="76"/>
  <c r="F12"/>
  <c r="F19" i="3"/>
  <c r="F18" i="2"/>
  <c r="O18" i="77"/>
  <c r="J19" i="58"/>
  <c r="J21" s="1"/>
  <c r="K10" i="75"/>
  <c r="H10"/>
  <c r="E10"/>
  <c r="R52" i="84"/>
  <c r="R48"/>
  <c r="R44"/>
  <c r="R35"/>
  <c r="I22" i="2" s="1"/>
  <c r="R31" i="84"/>
  <c r="I21" i="2" s="1"/>
  <c r="R27" i="84"/>
  <c r="E52" i="76" s="1"/>
  <c r="R18" i="84"/>
  <c r="F22" i="2" s="1"/>
  <c r="R13" i="84"/>
  <c r="F21" i="2" s="1"/>
  <c r="K23" i="14"/>
  <c r="K22"/>
  <c r="K21"/>
  <c r="K19"/>
  <c r="K18"/>
  <c r="K17"/>
  <c r="K16"/>
  <c r="K15"/>
  <c r="K14"/>
  <c r="K13"/>
  <c r="H23"/>
  <c r="H22"/>
  <c r="H21"/>
  <c r="H20"/>
  <c r="H19"/>
  <c r="H18"/>
  <c r="H17"/>
  <c r="H16"/>
  <c r="H15"/>
  <c r="H14"/>
  <c r="H13"/>
  <c r="E23"/>
  <c r="E21"/>
  <c r="E20"/>
  <c r="E19"/>
  <c r="E18"/>
  <c r="E17"/>
  <c r="E16"/>
  <c r="E15"/>
  <c r="E14"/>
  <c r="E13"/>
  <c r="E10"/>
  <c r="F16" i="83"/>
  <c r="F14"/>
  <c r="F9"/>
  <c r="E16"/>
  <c r="E15"/>
  <c r="E14"/>
  <c r="E9"/>
  <c r="D16"/>
  <c r="D15"/>
  <c r="D14"/>
  <c r="D9"/>
  <c r="F36" i="82"/>
  <c r="F35"/>
  <c r="F34"/>
  <c r="F33"/>
  <c r="F29"/>
  <c r="F27"/>
  <c r="F26"/>
  <c r="F23"/>
  <c r="F22"/>
  <c r="F21"/>
  <c r="F20"/>
  <c r="F17"/>
  <c r="F16"/>
  <c r="F15"/>
  <c r="F14"/>
  <c r="F13"/>
  <c r="F12"/>
  <c r="F11"/>
  <c r="F10"/>
  <c r="F9"/>
  <c r="E36"/>
  <c r="E35"/>
  <c r="E34"/>
  <c r="E33"/>
  <c r="E30"/>
  <c r="E29"/>
  <c r="E27"/>
  <c r="E26"/>
  <c r="E23"/>
  <c r="E22"/>
  <c r="E21"/>
  <c r="E20"/>
  <c r="E17"/>
  <c r="E16"/>
  <c r="E15"/>
  <c r="E14"/>
  <c r="E13"/>
  <c r="E12"/>
  <c r="E11"/>
  <c r="E10"/>
  <c r="E9"/>
  <c r="D18"/>
  <c r="D36"/>
  <c r="D35"/>
  <c r="D34"/>
  <c r="D33"/>
  <c r="D30"/>
  <c r="D29"/>
  <c r="D27"/>
  <c r="D26"/>
  <c r="D23"/>
  <c r="D22"/>
  <c r="D21"/>
  <c r="D20"/>
  <c r="D17"/>
  <c r="D16"/>
  <c r="D15"/>
  <c r="D14"/>
  <c r="D13"/>
  <c r="D12"/>
  <c r="D11"/>
  <c r="D10"/>
  <c r="D9"/>
  <c r="F31" i="81"/>
  <c r="F29"/>
  <c r="F26"/>
  <c r="F22"/>
  <c r="F20"/>
  <c r="F19"/>
  <c r="F18"/>
  <c r="F17"/>
  <c r="F15"/>
  <c r="F14"/>
  <c r="F13"/>
  <c r="F12"/>
  <c r="F11"/>
  <c r="E32"/>
  <c r="E31"/>
  <c r="E29"/>
  <c r="E26"/>
  <c r="E22"/>
  <c r="E20"/>
  <c r="E19"/>
  <c r="E18"/>
  <c r="E17"/>
  <c r="E15"/>
  <c r="E14"/>
  <c r="E13"/>
  <c r="E12"/>
  <c r="E11"/>
  <c r="D32"/>
  <c r="D31"/>
  <c r="D29"/>
  <c r="D26"/>
  <c r="D22"/>
  <c r="D20"/>
  <c r="D19"/>
  <c r="D18"/>
  <c r="D17"/>
  <c r="D15"/>
  <c r="D14"/>
  <c r="D13"/>
  <c r="D12"/>
  <c r="D11"/>
  <c r="G18" i="83"/>
  <c r="G20" s="1"/>
  <c r="H18"/>
  <c r="H20" s="1"/>
  <c r="E570" i="107"/>
  <c r="E570" i="106"/>
  <c r="B8" i="105"/>
  <c r="B9" s="1"/>
  <c r="B44" i="101"/>
  <c r="G12" i="2" l="1"/>
  <c r="E48" i="76"/>
  <c r="N21" i="2"/>
  <c r="J21"/>
  <c r="K19" i="58"/>
  <c r="K21" s="1"/>
  <c r="N12" i="2" s="1"/>
  <c r="O12" s="1"/>
  <c r="M13" i="58"/>
  <c r="Q14" i="2"/>
  <c r="Q10" i="75"/>
  <c r="F13" i="76"/>
  <c r="J13"/>
  <c r="E21"/>
  <c r="G21" i="2"/>
  <c r="E49" i="76"/>
  <c r="F49" s="1"/>
  <c r="N22" i="2"/>
  <c r="P22" s="1"/>
  <c r="Q22" s="1"/>
  <c r="R22" s="1"/>
  <c r="S22" s="1"/>
  <c r="T22" s="1"/>
  <c r="J22"/>
  <c r="F10" i="75"/>
  <c r="F14" i="2"/>
  <c r="H19" i="58"/>
  <c r="H21" s="1"/>
  <c r="I12" i="2" s="1"/>
  <c r="H18" i="3"/>
  <c r="H19" s="1"/>
  <c r="K9"/>
  <c r="G18" i="2"/>
  <c r="E18" i="76"/>
  <c r="M24" i="14"/>
  <c r="O24" s="1"/>
  <c r="P24" s="1"/>
  <c r="Q24" s="1"/>
  <c r="R24" s="1"/>
  <c r="S24" s="1"/>
  <c r="E22" i="76"/>
  <c r="F22" s="1"/>
  <c r="G22" i="2"/>
  <c r="I10" i="75"/>
  <c r="I14" i="2"/>
  <c r="H26" i="75"/>
  <c r="L24" i="86"/>
  <c r="L26"/>
  <c r="L17"/>
  <c r="L21"/>
  <c r="L13"/>
  <c r="L15"/>
  <c r="L18"/>
  <c r="L23"/>
  <c r="L12"/>
  <c r="L16"/>
  <c r="L22"/>
  <c r="L11"/>
  <c r="L25"/>
  <c r="L27"/>
  <c r="L19"/>
  <c r="L14"/>
  <c r="L20"/>
  <c r="F48" i="76"/>
  <c r="J48"/>
  <c r="J21"/>
  <c r="F21"/>
  <c r="K25" i="14"/>
  <c r="K29" s="1"/>
  <c r="D18" i="83"/>
  <c r="D20" s="1"/>
  <c r="F12" i="79" s="1"/>
  <c r="G13" i="80" s="1"/>
  <c r="D37" i="82"/>
  <c r="D39" s="1"/>
  <c r="F13" i="79" s="1"/>
  <c r="E27" i="81"/>
  <c r="E34" s="1"/>
  <c r="E36" s="1"/>
  <c r="I11" i="79" s="1"/>
  <c r="H11" i="80" s="1"/>
  <c r="F18" i="83"/>
  <c r="F20" s="1"/>
  <c r="L12" i="79" s="1"/>
  <c r="E18" i="83"/>
  <c r="E20" s="1"/>
  <c r="I12" i="79" s="1"/>
  <c r="H13" i="80" s="1"/>
  <c r="F37" i="82"/>
  <c r="F39" s="1"/>
  <c r="L13" i="79" s="1"/>
  <c r="E37" i="82"/>
  <c r="E39" s="1"/>
  <c r="I13" i="79" s="1"/>
  <c r="F27" i="81"/>
  <c r="F34" s="1"/>
  <c r="F36" s="1"/>
  <c r="L11" i="79" s="1"/>
  <c r="J22" i="76" l="1"/>
  <c r="J49"/>
  <c r="I19" i="3"/>
  <c r="I18" i="2"/>
  <c r="R14"/>
  <c r="R10" i="75"/>
  <c r="J14" i="2"/>
  <c r="E38" i="76"/>
  <c r="F18"/>
  <c r="J18"/>
  <c r="J12" i="2"/>
  <c r="E40" i="76"/>
  <c r="P21" i="2"/>
  <c r="Q21" s="1"/>
  <c r="R21" s="1"/>
  <c r="S21" s="1"/>
  <c r="T21" s="1"/>
  <c r="N25"/>
  <c r="K14" i="3"/>
  <c r="K18" s="1"/>
  <c r="K17"/>
  <c r="G14" i="2"/>
  <c r="E11" i="76"/>
  <c r="F52"/>
  <c r="J52"/>
  <c r="H13" i="77" s="1"/>
  <c r="F25" i="76"/>
  <c r="L14" i="79"/>
  <c r="I14"/>
  <c r="H12" i="80"/>
  <c r="G12"/>
  <c r="B8" i="95"/>
  <c r="B9" s="1"/>
  <c r="B10" s="1"/>
  <c r="B11" s="1"/>
  <c r="K19" i="3" l="1"/>
  <c r="S10" i="75"/>
  <c r="T14" i="2" s="1"/>
  <c r="S14"/>
  <c r="N18"/>
  <c r="O18" s="1"/>
  <c r="L19" i="3"/>
  <c r="J40" i="76"/>
  <c r="F40"/>
  <c r="F38"/>
  <c r="J38"/>
  <c r="J18" i="2"/>
  <c r="E45" i="76"/>
  <c r="J11"/>
  <c r="F11"/>
  <c r="H14" i="80"/>
  <c r="I10" i="2"/>
  <c r="B42" i="3"/>
  <c r="B43" s="1"/>
  <c r="B33"/>
  <c r="B34" s="1"/>
  <c r="B35" s="1"/>
  <c r="B36" s="1"/>
  <c r="E37" i="76" l="1"/>
  <c r="J10" i="2"/>
  <c r="J45" i="76"/>
  <c r="F45"/>
  <c r="P31"/>
  <c r="F37"/>
  <c r="B18" i="77"/>
  <c r="B19" s="1"/>
  <c r="B12"/>
  <c r="B13" s="1"/>
  <c r="B12" i="87" l="1"/>
  <c r="B13" s="1"/>
  <c r="B14" s="1"/>
  <c r="B11" i="2"/>
  <c r="B12" s="1"/>
  <c r="B13" s="1"/>
  <c r="B14" s="1"/>
  <c r="B15" s="1"/>
  <c r="B16" s="1"/>
  <c r="B17" s="1"/>
  <c r="B18" s="1"/>
  <c r="B19" s="1"/>
  <c r="B20" s="1"/>
  <c r="B21" s="1"/>
  <c r="B22" s="1"/>
  <c r="B39" i="86"/>
  <c r="B40" s="1"/>
  <c r="B41" s="1"/>
  <c r="B42" s="1"/>
  <c r="B43" s="1"/>
  <c r="B44" s="1"/>
  <c r="B45" s="1"/>
  <c r="B46" s="1"/>
  <c r="B47" s="1"/>
  <c r="B48" s="1"/>
  <c r="B49" s="1"/>
  <c r="B50" s="1"/>
  <c r="B51" s="1"/>
  <c r="B52" s="1"/>
  <c r="B53" s="1"/>
  <c r="B54" s="1"/>
  <c r="B55" s="1"/>
  <c r="B56" s="1"/>
  <c r="B57" s="1"/>
  <c r="B58" s="1"/>
  <c r="B59" s="1"/>
  <c r="B18" i="3"/>
  <c r="B19" s="1"/>
  <c r="B10"/>
  <c r="B11" s="1"/>
  <c r="B12" s="1"/>
  <c r="B13" s="1"/>
  <c r="B14" s="1"/>
  <c r="B102" i="58"/>
  <c r="B103" s="1"/>
  <c r="B104" s="1"/>
  <c r="B105" s="1"/>
  <c r="B106" s="1"/>
  <c r="B107" s="1"/>
  <c r="B108" s="1"/>
  <c r="B88"/>
  <c r="B89" s="1"/>
  <c r="B90" s="1"/>
  <c r="B91" s="1"/>
  <c r="B92" s="1"/>
  <c r="B93" s="1"/>
  <c r="B94" s="1"/>
  <c r="B79"/>
  <c r="B80" s="1"/>
  <c r="B81" s="1"/>
  <c r="B82" s="1"/>
  <c r="B83" s="1"/>
  <c r="B84" s="1"/>
  <c r="B85" s="1"/>
  <c r="B55"/>
  <c r="B56" s="1"/>
  <c r="B57" s="1"/>
  <c r="B58" s="1"/>
  <c r="B59" s="1"/>
  <c r="B60" s="1"/>
  <c r="B61" s="1"/>
  <c r="B41"/>
  <c r="B42" s="1"/>
  <c r="B43" s="1"/>
  <c r="B44" s="1"/>
  <c r="B45" s="1"/>
  <c r="B46" s="1"/>
  <c r="B47" s="1"/>
  <c r="B32"/>
  <c r="B33" s="1"/>
  <c r="B34" s="1"/>
  <c r="B35" s="1"/>
  <c r="B36" s="1"/>
  <c r="B37" s="1"/>
  <c r="B38" s="1"/>
  <c r="B12"/>
  <c r="B13" s="1"/>
  <c r="B14" s="1"/>
  <c r="B15" s="1"/>
  <c r="B16" s="1"/>
  <c r="B17" s="1"/>
  <c r="B18" s="1"/>
  <c r="B12" i="80"/>
  <c r="B13" s="1"/>
  <c r="B14" s="1"/>
  <c r="B15" s="1"/>
  <c r="B16" s="1"/>
  <c r="B11" i="79"/>
  <c r="B12" s="1"/>
  <c r="B13" s="1"/>
  <c r="B14" s="1"/>
  <c r="B10" i="83" l="1"/>
  <c r="B11" s="1"/>
  <c r="B12" s="1"/>
  <c r="B13" s="1"/>
  <c r="B14" s="1"/>
  <c r="B15" s="1"/>
  <c r="B16" s="1"/>
  <c r="B17" s="1"/>
  <c r="B18" s="1"/>
  <c r="B19" s="1"/>
  <c r="B20" s="1"/>
  <c r="B70" i="81"/>
  <c r="B71" s="1"/>
  <c r="B72" s="1"/>
  <c r="B73" s="1"/>
  <c r="B64"/>
  <c r="B65" s="1"/>
  <c r="B66" s="1"/>
  <c r="B67" s="1"/>
  <c r="B58"/>
  <c r="B59" s="1"/>
  <c r="B60" s="1"/>
  <c r="B61" s="1"/>
  <c r="B52"/>
  <c r="B53" s="1"/>
  <c r="B54" s="1"/>
  <c r="B55" s="1"/>
  <c r="B29"/>
  <c r="B30" s="1"/>
  <c r="B31" s="1"/>
  <c r="B32" s="1"/>
  <c r="B23" i="2" l="1"/>
  <c r="B10" i="44"/>
  <c r="B11" s="1"/>
  <c r="B13" s="1"/>
  <c r="B14" s="1"/>
  <c r="B15" s="1"/>
  <c r="B16" s="1"/>
  <c r="B17" s="1"/>
  <c r="B18" s="1"/>
  <c r="B19" s="1"/>
  <c r="B20" s="1"/>
  <c r="B21" s="1"/>
  <c r="B22" s="1"/>
  <c r="B23" s="1"/>
  <c r="B24" s="1"/>
  <c r="B25" s="1"/>
  <c r="B26" s="1"/>
  <c r="B27" s="1"/>
  <c r="B28" s="1"/>
  <c r="B29" s="1"/>
  <c r="B30" s="1"/>
  <c r="B31" s="1"/>
  <c r="B32" s="1"/>
  <c r="B33" s="1"/>
  <c r="D27" i="81"/>
  <c r="D34" s="1"/>
  <c r="D36" s="1"/>
  <c r="F11" i="79" s="1"/>
  <c r="G11" i="80" l="1"/>
  <c r="F14" i="79"/>
  <c r="G14" i="80" l="1"/>
  <c r="F10" i="2"/>
  <c r="E10" i="76" l="1"/>
  <c r="F10" s="1"/>
  <c r="G10" i="2"/>
  <c r="O31" i="76" l="1"/>
  <c r="O32"/>
  <c r="O33" s="1"/>
  <c r="O35" l="1"/>
  <c r="O34"/>
  <c r="G15" i="80"/>
  <c r="J10" i="76" l="1"/>
  <c r="G16" i="80"/>
  <c r="P28" i="76"/>
  <c r="P30" s="1"/>
  <c r="H12" i="77" s="1"/>
  <c r="P32" i="76" l="1"/>
  <c r="P33" l="1"/>
  <c r="P35"/>
  <c r="H15" i="80" l="1"/>
  <c r="P34" i="76"/>
  <c r="Q28" s="1"/>
  <c r="Q30" s="1"/>
  <c r="N14" i="79" s="1"/>
  <c r="J12" i="77" l="1"/>
  <c r="M14" i="79"/>
  <c r="H16" i="80"/>
  <c r="I16" s="1"/>
  <c r="I26" s="1"/>
  <c r="J37" i="76"/>
  <c r="F14" i="77" l="1"/>
  <c r="F19" s="1"/>
  <c r="F13" i="2" s="1"/>
  <c r="G13" s="1"/>
  <c r="G17" s="1"/>
  <c r="G19" s="1"/>
  <c r="J26" i="80"/>
  <c r="K26" l="1"/>
  <c r="J16" s="1"/>
  <c r="H14" i="77"/>
  <c r="H19" s="1"/>
  <c r="I13" i="2" s="1"/>
  <c r="J13" s="1"/>
  <c r="J17" s="1"/>
  <c r="J19" s="1"/>
  <c r="F17"/>
  <c r="F19" s="1"/>
  <c r="E14" i="76"/>
  <c r="I17" i="2" l="1"/>
  <c r="I19" s="1"/>
  <c r="E41" i="76"/>
  <c r="E17"/>
  <c r="E19" s="1"/>
  <c r="F14"/>
  <c r="F17" s="1"/>
  <c r="F19" s="1"/>
  <c r="J14"/>
  <c r="J17" s="1"/>
  <c r="J19" s="1"/>
  <c r="K16" i="80"/>
  <c r="J14" i="77" l="1"/>
  <c r="J19" s="1"/>
  <c r="N13" i="2" s="1"/>
  <c r="O13" s="1"/>
  <c r="N10"/>
  <c r="M16" i="80"/>
  <c r="L16"/>
  <c r="F41" i="76"/>
  <c r="F44" s="1"/>
  <c r="F46" s="1"/>
  <c r="J41"/>
  <c r="J44" s="1"/>
  <c r="J46" s="1"/>
  <c r="E44"/>
  <c r="E46" s="1"/>
  <c r="P14" i="79" l="1"/>
  <c r="P10" i="2" s="1"/>
  <c r="K12" i="77"/>
  <c r="N17" i="2"/>
  <c r="N19" s="1"/>
  <c r="O10"/>
  <c r="O17" s="1"/>
  <c r="O16" i="80"/>
  <c r="N16"/>
  <c r="Q14" i="79" l="1"/>
  <c r="Q10" i="2" s="1"/>
  <c r="L12" i="77"/>
  <c r="Q16" i="80"/>
  <c r="P16"/>
  <c r="R14" i="79" l="1"/>
  <c r="R10" i="2" s="1"/>
  <c r="M12" i="77"/>
  <c r="S16" i="80"/>
  <c r="R16"/>
  <c r="S14" i="79" l="1"/>
  <c r="S10" i="2" s="1"/>
  <c r="N12" i="77"/>
  <c r="T16" i="80"/>
  <c r="T14" i="79" l="1"/>
  <c r="T10" i="2" s="1"/>
  <c r="O12" i="77"/>
  <c r="E29" i="14"/>
  <c r="F25"/>
  <c r="D37" i="86"/>
  <c r="D61"/>
  <c r="D48"/>
  <c r="D47"/>
  <c r="D43"/>
  <c r="D45"/>
  <c r="D54"/>
  <c r="D49"/>
  <c r="D55"/>
  <c r="D46"/>
  <c r="D40"/>
  <c r="D41"/>
  <c r="D42"/>
  <c r="D52"/>
  <c r="D50"/>
  <c r="D51"/>
  <c r="D44"/>
  <c r="D53"/>
  <c r="F37"/>
  <c r="F47"/>
  <c r="F48"/>
  <c r="F49"/>
  <c r="F45"/>
  <c r="F51"/>
  <c r="F54"/>
  <c r="F55"/>
  <c r="F43"/>
  <c r="F46"/>
  <c r="F40"/>
  <c r="F41"/>
  <c r="F42"/>
  <c r="F52"/>
  <c r="F50"/>
  <c r="F53"/>
  <c r="F44"/>
  <c r="F61"/>
  <c r="H37"/>
  <c r="H41"/>
  <c r="H48"/>
  <c r="H51"/>
  <c r="H47"/>
  <c r="H45"/>
  <c r="H54"/>
  <c r="H49"/>
  <c r="H61"/>
  <c r="H46"/>
  <c r="H40"/>
  <c r="H43"/>
  <c r="H42"/>
  <c r="H52"/>
  <c r="H50"/>
  <c r="H55"/>
  <c r="H44"/>
  <c r="H53"/>
  <c r="E41"/>
  <c r="E54"/>
  <c r="E51"/>
  <c r="E50"/>
  <c r="E40"/>
  <c r="E42"/>
  <c r="E61"/>
  <c r="E48"/>
  <c r="E52"/>
  <c r="E49"/>
  <c r="E43"/>
  <c r="E37"/>
  <c r="E45"/>
  <c r="E55"/>
  <c r="E53"/>
  <c r="E46"/>
  <c r="E47"/>
  <c r="E44"/>
  <c r="G41"/>
  <c r="G42"/>
  <c r="G44"/>
  <c r="G55"/>
  <c r="G40"/>
  <c r="G52"/>
  <c r="G61"/>
  <c r="G50"/>
  <c r="G37"/>
  <c r="G49"/>
  <c r="G47"/>
  <c r="G43"/>
  <c r="G45"/>
  <c r="G51"/>
  <c r="G53"/>
  <c r="G48"/>
  <c r="G46"/>
  <c r="G54"/>
  <c r="AB22" i="99"/>
  <c r="Y41"/>
  <c r="O28" i="95"/>
  <c r="E60" i="86"/>
  <c r="E40" i="64"/>
  <c r="F23" i="2"/>
  <c r="E42" i="3"/>
  <c r="T41" i="99"/>
  <c r="F54" i="76"/>
  <c r="F50"/>
  <c r="N25" i="14"/>
  <c r="N28" i="2"/>
  <c r="G60" i="86"/>
  <c r="Q18" i="2"/>
  <c r="Q17" i="58"/>
  <c r="F42" i="3"/>
  <c r="S20" i="2"/>
  <c r="R13"/>
  <c r="Q20"/>
  <c r="T13"/>
  <c r="R18"/>
  <c r="F47" i="76"/>
  <c r="F27"/>
  <c r="H10" i="95"/>
  <c r="AB18" i="99"/>
  <c r="O16" i="58"/>
  <c r="AB42" i="99"/>
  <c r="O41"/>
  <c r="S12" i="2"/>
  <c r="Q16" i="58"/>
  <c r="G36" i="86"/>
  <c r="G39"/>
  <c r="G59"/>
  <c r="I23" i="2"/>
  <c r="N15" i="58"/>
  <c r="E36" i="86"/>
  <c r="E39"/>
  <c r="E59"/>
  <c r="AB37" i="99"/>
  <c r="X42"/>
  <c r="M16" i="58"/>
  <c r="H29" i="14"/>
  <c r="P16" i="58"/>
  <c r="K19" i="77"/>
  <c r="P13" i="2"/>
  <c r="F20" i="76"/>
  <c r="F23"/>
  <c r="N23" i="2"/>
  <c r="P20"/>
  <c r="N16" i="58"/>
  <c r="T18" i="2"/>
  <c r="H41" i="3"/>
  <c r="H43"/>
  <c r="O11" i="14"/>
  <c r="O25"/>
  <c r="J14" i="95"/>
  <c r="P35" i="64"/>
  <c r="S35"/>
  <c r="J41" i="99"/>
  <c r="J9" i="95"/>
  <c r="R20" i="2"/>
  <c r="R11" i="14"/>
  <c r="R25"/>
  <c r="M13" i="77"/>
  <c r="M14"/>
  <c r="M19"/>
  <c r="O13"/>
  <c r="O14"/>
  <c r="O19"/>
  <c r="K13"/>
  <c r="K14"/>
  <c r="E33" i="3"/>
  <c r="E34"/>
  <c r="F36" i="86"/>
  <c r="F39"/>
  <c r="F59"/>
  <c r="F60"/>
  <c r="H36"/>
  <c r="H39"/>
  <c r="H59"/>
  <c r="H60"/>
  <c r="T19" i="2"/>
  <c r="T23"/>
  <c r="M21" i="58"/>
  <c r="P12" i="2"/>
  <c r="X41" i="99"/>
  <c r="AB41"/>
  <c r="S25" i="14"/>
  <c r="T20" i="2"/>
  <c r="P40" i="64"/>
  <c r="S40"/>
  <c r="R42" i="99"/>
  <c r="S42"/>
  <c r="W42"/>
  <c r="P11" i="14"/>
  <c r="P25"/>
  <c r="F41" i="3"/>
  <c r="F43"/>
  <c r="E50" i="76"/>
  <c r="E54"/>
  <c r="E23"/>
  <c r="E27"/>
  <c r="P19" i="58"/>
  <c r="P21"/>
  <c r="G15" i="95"/>
  <c r="G17"/>
  <c r="G42" i="3"/>
  <c r="S18" i="2"/>
  <c r="N19" i="58"/>
  <c r="N21"/>
  <c r="Q12" i="2"/>
  <c r="N20"/>
  <c r="O20"/>
  <c r="O23"/>
  <c r="D42" i="3"/>
  <c r="D43"/>
  <c r="P18" i="2"/>
  <c r="D36" i="86"/>
  <c r="D39"/>
  <c r="D59"/>
  <c r="D60"/>
  <c r="L57"/>
  <c r="E30" i="95"/>
  <c r="P17" i="58"/>
  <c r="Q13"/>
  <c r="Q19"/>
  <c r="Q21"/>
  <c r="T12" i="2"/>
  <c r="N19" i="77"/>
  <c r="S13" i="2"/>
  <c r="E41" i="3"/>
  <c r="E43"/>
  <c r="G20" i="2"/>
  <c r="G23"/>
  <c r="H22" i="99"/>
  <c r="I22"/>
  <c r="M22"/>
  <c r="N22"/>
  <c r="R22"/>
  <c r="S22"/>
  <c r="W22"/>
  <c r="X22"/>
  <c r="O19" i="58"/>
  <c r="O21"/>
  <c r="R12" i="2"/>
  <c r="E15" i="95"/>
  <c r="E17"/>
  <c r="M11" i="14"/>
  <c r="M25"/>
  <c r="H17" i="95"/>
  <c r="Q11" i="14"/>
  <c r="Q25"/>
  <c r="J20" i="2"/>
  <c r="J23"/>
  <c r="K35" i="64"/>
  <c r="L35"/>
  <c r="O35"/>
  <c r="H15" i="95"/>
  <c r="F15"/>
  <c r="F17"/>
  <c r="W18" i="99"/>
  <c r="X18"/>
  <c r="Y37"/>
  <c r="Y42"/>
  <c r="Q76" i="64"/>
  <c r="T11" i="2"/>
  <c r="T17"/>
  <c r="M19" i="58"/>
  <c r="M41" i="99"/>
  <c r="N41"/>
  <c r="R41"/>
  <c r="S41"/>
  <c r="W41"/>
  <c r="R23"/>
  <c r="S23"/>
  <c r="W23"/>
  <c r="X23"/>
  <c r="AB23"/>
  <c r="L13" i="77"/>
  <c r="L14"/>
  <c r="L19"/>
  <c r="Q13" i="2"/>
  <c r="W37" i="99"/>
  <c r="X37"/>
  <c r="H11" i="14"/>
  <c r="H25"/>
  <c r="I20" i="2"/>
  <c r="E47" i="76"/>
  <c r="J47"/>
  <c r="J50"/>
  <c r="J54"/>
  <c r="G40" i="64"/>
  <c r="H40"/>
  <c r="K40"/>
  <c r="L40"/>
  <c r="O40"/>
  <c r="J42" i="99"/>
  <c r="E76" i="64"/>
  <c r="Q11" i="2"/>
  <c r="Q17"/>
  <c r="Q19"/>
  <c r="Q23"/>
  <c r="Q60" i="64"/>
  <c r="P11" i="2"/>
  <c r="P17"/>
  <c r="P19"/>
  <c r="P23"/>
  <c r="J37" i="99"/>
  <c r="M37"/>
  <c r="N37"/>
  <c r="R37"/>
  <c r="S37"/>
  <c r="G39" i="64"/>
  <c r="H39"/>
  <c r="K39"/>
  <c r="L39"/>
  <c r="O39"/>
  <c r="P39"/>
  <c r="S39"/>
  <c r="E37" i="95"/>
  <c r="E39"/>
  <c r="I15"/>
  <c r="I17"/>
  <c r="H41" i="99"/>
  <c r="I41"/>
  <c r="M15" i="58"/>
  <c r="M17"/>
  <c r="N13"/>
  <c r="N17"/>
  <c r="O13"/>
  <c r="O17"/>
  <c r="P13"/>
  <c r="E41" i="99"/>
  <c r="E42"/>
  <c r="H42"/>
  <c r="I42"/>
  <c r="M42"/>
  <c r="N42"/>
  <c r="G14" i="95"/>
  <c r="H7"/>
  <c r="H9"/>
  <c r="H14"/>
  <c r="I7"/>
  <c r="I9"/>
  <c r="I14"/>
  <c r="J7"/>
  <c r="J15"/>
  <c r="J17"/>
  <c r="S11" i="14"/>
  <c r="E23" i="99"/>
  <c r="H23"/>
  <c r="I23"/>
  <c r="M23"/>
  <c r="N23"/>
  <c r="S21" i="64"/>
  <c r="D39"/>
  <c r="E22" i="99"/>
  <c r="Q21" i="64"/>
  <c r="Q22"/>
  <c r="S22"/>
  <c r="D40"/>
  <c r="E35"/>
  <c r="G35"/>
  <c r="H35"/>
  <c r="R18" i="99"/>
  <c r="S18"/>
  <c r="T37"/>
  <c r="T42"/>
  <c r="M76" i="64"/>
  <c r="S11" i="2"/>
  <c r="S17"/>
  <c r="S19"/>
  <c r="S23"/>
  <c r="N13" i="77"/>
  <c r="N14"/>
  <c r="F14" i="95"/>
  <c r="G7"/>
  <c r="G9"/>
  <c r="G10"/>
  <c r="G21"/>
  <c r="J23" i="99"/>
  <c r="J18"/>
  <c r="M18"/>
  <c r="N18"/>
  <c r="O37"/>
  <c r="O42"/>
  <c r="I76" i="64"/>
  <c r="R11" i="2"/>
  <c r="R17"/>
  <c r="R19"/>
  <c r="R23"/>
  <c r="G36" i="3"/>
  <c r="H32"/>
  <c r="H36"/>
  <c r="H42"/>
  <c r="D37" i="95"/>
  <c r="D39"/>
  <c r="E11" i="14"/>
  <c r="E25"/>
  <c r="F20" i="2"/>
  <c r="E20" i="76"/>
  <c r="J20"/>
  <c r="J23"/>
  <c r="J27"/>
  <c r="D30" i="95"/>
  <c r="D31"/>
  <c r="D36"/>
  <c r="E29"/>
  <c r="E31"/>
  <c r="E36"/>
  <c r="E7"/>
  <c r="E9"/>
  <c r="E14"/>
  <c r="F7"/>
  <c r="F9"/>
  <c r="F10"/>
  <c r="F21"/>
  <c r="D33" i="3"/>
  <c r="D34"/>
  <c r="D36"/>
  <c r="E32"/>
  <c r="E36"/>
  <c r="F32"/>
  <c r="F36"/>
  <c r="G32"/>
  <c r="G41"/>
  <c r="G43"/>
</calcChain>
</file>

<file path=xl/sharedStrings.xml><?xml version="1.0" encoding="utf-8"?>
<sst xmlns="http://schemas.openxmlformats.org/spreadsheetml/2006/main" count="9644" uniqueCount="1895">
  <si>
    <t>Maharashtra State Load Despatch Centre</t>
  </si>
  <si>
    <t>MYT Petition Formats - Fees and Charges for MSLDC</t>
  </si>
  <si>
    <t>Sr. No.</t>
  </si>
  <si>
    <t>Title</t>
  </si>
  <si>
    <t>Reference</t>
  </si>
  <si>
    <t>Annual Fixed Charges - Summary Sheet</t>
  </si>
  <si>
    <t>Form 1</t>
  </si>
  <si>
    <t>Summary of Operations and Maintenance Expenses</t>
  </si>
  <si>
    <t>Form 2</t>
  </si>
  <si>
    <t>Operation and Maintenance Expenses -Normative</t>
  </si>
  <si>
    <t>Form 2.1</t>
  </si>
  <si>
    <t>Employee Expenses</t>
  </si>
  <si>
    <t>Form 2.2</t>
  </si>
  <si>
    <t>Administration &amp; General Expenses</t>
  </si>
  <si>
    <t>Form 2.3</t>
  </si>
  <si>
    <t>Repair &amp; Maintenance Expenses</t>
  </si>
  <si>
    <t>Form 2.4</t>
  </si>
  <si>
    <t>Summary of Capital Expenditure and Capitalisation</t>
  </si>
  <si>
    <t>Form 3</t>
  </si>
  <si>
    <t xml:space="preserve">Capital Expenditure Plan </t>
  </si>
  <si>
    <t>Form 3.1</t>
  </si>
  <si>
    <t>Capitalisation Plan</t>
  </si>
  <si>
    <t>Form 3.2</t>
  </si>
  <si>
    <t>Capital Work-in-Progress</t>
  </si>
  <si>
    <t>Form 3.3</t>
  </si>
  <si>
    <t>Assets &amp; Depreciation</t>
  </si>
  <si>
    <t>Form 4</t>
  </si>
  <si>
    <t>Assets &amp; Depreciation  - Existing Schemes (CoD on or before the March 31, 2025 or Assets in-principally approved  before the notification of MERC MYT Regulations 2024)</t>
  </si>
  <si>
    <t xml:space="preserve">Form 4.1 (E) </t>
  </si>
  <si>
    <t>Assets &amp; Depreciation - New Schemes  (not covered under Existing Assets)</t>
  </si>
  <si>
    <t xml:space="preserve">Form 4.1 (N) </t>
  </si>
  <si>
    <t>Interest on Loan Capital</t>
  </si>
  <si>
    <t>Form 5</t>
  </si>
  <si>
    <t xml:space="preserve">Interest on Working Capital </t>
  </si>
  <si>
    <t>Form 6</t>
  </si>
  <si>
    <t>RLDC Fees and WRPC Charges</t>
  </si>
  <si>
    <t>Form 7</t>
  </si>
  <si>
    <t>Income Tax</t>
  </si>
  <si>
    <t>Form 8</t>
  </si>
  <si>
    <t>Return on Regulatory Equity</t>
  </si>
  <si>
    <t>Form 9</t>
  </si>
  <si>
    <t>Non-tariff Income</t>
  </si>
  <si>
    <t>Form 10</t>
  </si>
  <si>
    <t>Revenue from Transmission System Users and others</t>
  </si>
  <si>
    <t>Form 11</t>
  </si>
  <si>
    <t>Coincident and Non-Coincident Peak Demand</t>
  </si>
  <si>
    <t>Form 12</t>
  </si>
  <si>
    <t>Sharing of MSLDC Charges</t>
  </si>
  <si>
    <t>Form 13</t>
  </si>
  <si>
    <t>Truing Up Summary</t>
  </si>
  <si>
    <t>Form 14</t>
  </si>
  <si>
    <t>Quantum of Energy Transmitted and Intra-State Transmission Loss</t>
  </si>
  <si>
    <t>Form 15</t>
  </si>
  <si>
    <t>Depreciation Schedule</t>
  </si>
  <si>
    <t>Form 16</t>
  </si>
  <si>
    <t>Form 1:  Annual Fixed Charges - Summary Sheet</t>
  </si>
  <si>
    <t>(Rs. Crore)</t>
  </si>
  <si>
    <t>Particulars</t>
  </si>
  <si>
    <t>FY 2022-23</t>
  </si>
  <si>
    <t>FY 2023-24</t>
  </si>
  <si>
    <t>FY 2024-25</t>
  </si>
  <si>
    <t>Ensuing Years</t>
  </si>
  <si>
    <t>Remarks</t>
  </si>
  <si>
    <t>MTR Order*</t>
  </si>
  <si>
    <t>April-March      (Audited )</t>
  </si>
  <si>
    <t>True-Up requirement</t>
  </si>
  <si>
    <t>Apr-Sep    (Actual)</t>
  </si>
  <si>
    <t>Oct-Mar          (Estimated)</t>
  </si>
  <si>
    <t>April - March (Estimated)</t>
  </si>
  <si>
    <t>Provisional True-Up requirement</t>
  </si>
  <si>
    <t>FY 2025-26</t>
  </si>
  <si>
    <t>FY 2026-27</t>
  </si>
  <si>
    <t>FY 2027-28</t>
  </si>
  <si>
    <t>FY 2028-29</t>
  </si>
  <si>
    <t>FY 2029-30</t>
  </si>
  <si>
    <t>(a)</t>
  </si>
  <si>
    <t>(b)</t>
  </si>
  <si>
    <t>(c ) = (b) - (a)</t>
  </si>
  <si>
    <t>(d)</t>
  </si>
  <si>
    <t>(e)</t>
  </si>
  <si>
    <t>(f ) = (e) - (d)</t>
  </si>
  <si>
    <t>(g)</t>
  </si>
  <si>
    <t>(h)</t>
  </si>
  <si>
    <t xml:space="preserve">(i) </t>
  </si>
  <si>
    <t>(j) = (h) + (i)</t>
  </si>
  <si>
    <t>(k) = (j) - (g)</t>
  </si>
  <si>
    <t>Projected</t>
  </si>
  <si>
    <t>Operation &amp; Maintenance Expenses</t>
  </si>
  <si>
    <t>Depreciation Expenses</t>
  </si>
  <si>
    <t>Interest on Working Capital</t>
  </si>
  <si>
    <t>Reactive Energy Charges paid to Generators/TSUs</t>
  </si>
  <si>
    <t>Total Revenue Expenditure</t>
  </si>
  <si>
    <t>Return on Equity Capital</t>
  </si>
  <si>
    <t>Total Expenditure for MSLDC</t>
  </si>
  <si>
    <t>Less: Non Tariff Income</t>
  </si>
  <si>
    <t>Less: Income from Open Access charges</t>
  </si>
  <si>
    <t>Annual Fixed Charges for MSLDC</t>
  </si>
  <si>
    <t>Form 2:  Summary of Operations and Maintenance Expenses</t>
  </si>
  <si>
    <t>O&amp;M Expenses</t>
  </si>
  <si>
    <t xml:space="preserve">R&amp;M Expenses </t>
  </si>
  <si>
    <t xml:space="preserve">A&amp;G Expenses </t>
  </si>
  <si>
    <t>Total Operation &amp; Maintenance Expenses</t>
  </si>
  <si>
    <t>Opex Schemes</t>
  </si>
  <si>
    <t xml:space="preserve">Projected </t>
  </si>
  <si>
    <t>System Automation</t>
  </si>
  <si>
    <t>New Technology</t>
  </si>
  <si>
    <t>I.T. Implementation</t>
  </si>
  <si>
    <t>….</t>
  </si>
  <si>
    <r>
      <rPr>
        <b/>
        <sz val="11"/>
        <rFont val="Times New Roman"/>
        <family val="1"/>
      </rPr>
      <t>Note</t>
    </r>
    <r>
      <rPr>
        <sz val="11"/>
        <rFont val="Times New Roman"/>
        <family val="1"/>
      </rPr>
      <t>: MSLDC shall submit detailed justification, cost benefit analysis of opex schemes and savings in O&amp;M expenses, if any</t>
    </r>
  </si>
  <si>
    <t>Form 2.1:  Operation and Maintenance Expenses -Normative</t>
  </si>
  <si>
    <t>Approved O&amp;M Expenses*</t>
  </si>
  <si>
    <t>5-Year Average</t>
  </si>
  <si>
    <t>Normative#</t>
  </si>
  <si>
    <t>FY 2019-20</t>
  </si>
  <si>
    <t>FY 2020-21</t>
  </si>
  <si>
    <t>FY 2021-22</t>
  </si>
  <si>
    <t>(c)</t>
  </si>
  <si>
    <t xml:space="preserve">(e) </t>
  </si>
  <si>
    <t>(f) =               [(a)+(b)+(c)+ (d)+ (e)]/5</t>
  </si>
  <si>
    <t>Normative$</t>
  </si>
  <si>
    <t xml:space="preserve">Projected$$ </t>
  </si>
  <si>
    <t xml:space="preserve">Employee Expenses </t>
  </si>
  <si>
    <t>A&amp;G Expenses</t>
  </si>
  <si>
    <t>R &amp; M Expenses</t>
  </si>
  <si>
    <t>Total O&amp;M Expenses</t>
  </si>
  <si>
    <t>Total O&amp;M Expenses after sharing of Gains/(losses)</t>
  </si>
  <si>
    <t>Notes:</t>
  </si>
  <si>
    <t xml:space="preserve">*Trued-up O&amp;M expenses after adding/deducting share of efficiency gains/losses shall be considered </t>
  </si>
  <si>
    <t># Normative O&amp;M expenses for FY 2024-25 to be computed by escalating twice with an escalation rate of 20% weightage of WPI of the respective past five financial years and 80% weightage of CPI of the respective past five financial years</t>
  </si>
  <si>
    <t>$ Normative O&amp;M expenses for each Year of the Control Period to be computed by escalating (e) by WPI (20%) &amp; CPI (80%) of respective past five financial years, reduced by efficiency factor of 1%</t>
  </si>
  <si>
    <t>$$ In case Projected O&amp;M expenses for Control Period are different from Normative O&amp;M expenses, then detailed justification should be provided</t>
  </si>
  <si>
    <t>Form 2.2: Employee Expenses</t>
  </si>
  <si>
    <t>A. Expenditure details</t>
  </si>
  <si>
    <t>S.No.</t>
  </si>
  <si>
    <t>Apr-Sep            (Actual)</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</si>
  <si>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</si>
  <si>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</si>
  <si>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</si>
  <si>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</si>
  <si>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</si>
  <si>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</si>
  <si>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</si>
  <si>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</si>
  <si>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</si>
  <si>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</si>
  <si>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</si>
  <si>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</si>
  <si>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</si>
  <si>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</si>
  <si>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</si>
  <si>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</si>
  <si>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</si>
  <si>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</si>
  <si>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</si>
  <si>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</si>
  <si>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</si>
  <si>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</si>
  <si>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 … …</t>
  </si>
  <si>
    <t xml:space="preserve">Gross Employee Expenses </t>
  </si>
  <si>
    <t>Less: Expenses Capitalised</t>
  </si>
  <si>
    <t xml:space="preserve">Net Employee Expenses </t>
  </si>
  <si>
    <t>B. Details of number of employees</t>
  </si>
  <si>
    <t>(Numbers)</t>
  </si>
  <si>
    <t>A</t>
  </si>
  <si>
    <t>Officer/Managerial Cadre</t>
  </si>
  <si>
    <t>Technical</t>
  </si>
  <si>
    <t>Administrative</t>
  </si>
  <si>
    <t>Accounts and finance</t>
  </si>
  <si>
    <t>Other (Please specify)</t>
  </si>
  <si>
    <t>B</t>
  </si>
  <si>
    <t>Staff Cadre</t>
  </si>
  <si>
    <t>Grade I</t>
  </si>
  <si>
    <t>Grade II</t>
  </si>
  <si>
    <t>Grade III</t>
  </si>
  <si>
    <t>Grade IV</t>
  </si>
  <si>
    <t>Others (please specify)</t>
  </si>
  <si>
    <t>Total Employees</t>
  </si>
  <si>
    <t>Form 2.3: Administration &amp; General Expenses</t>
  </si>
  <si>
    <t>Rent Rates &amp; Taxes</t>
  </si>
  <si>
    <t>Insurance</t>
  </si>
  <si>
    <t>Telephone &amp; Postage, etc.</t>
  </si>
  <si>
    <t>Legal charges &amp; Audit fee</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</si>
  <si>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</si>
  <si>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</si>
  <si>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</si>
  <si>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</si>
  <si>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</si>
  <si>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</si>
  <si>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</si>
  <si>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</si>
  <si>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</si>
  <si>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</si>
  <si>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</si>
  <si>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</si>
  <si>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</si>
  <si>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</si>
  <si>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</si>
  <si>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</si>
  <si>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</si>
  <si>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</si>
  <si>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</si>
  <si>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</si>
  <si>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</si>
  <si>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</si>
  <si>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</si>
  <si>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 &amp;G Expenses</t>
  </si>
  <si>
    <t xml:space="preserve">Net A &amp;G Expenses </t>
  </si>
  <si>
    <t>Form 2.4: Repair &amp; Maintenance Expenses</t>
  </si>
  <si>
    <t>Plant &amp; Machinery</t>
  </si>
  <si>
    <t>Buildings</t>
  </si>
  <si>
    <t>Civil Works</t>
  </si>
  <si>
    <t>Hydraulic Works</t>
  </si>
  <si>
    <t>Lines &amp; Cable Networks</t>
  </si>
  <si>
    <t>Vehicles</t>
  </si>
  <si>
    <t>Furniture &amp; Fixtures</t>
  </si>
  <si>
    <t>Office Equipment</t>
  </si>
  <si>
    <t>Gross R&amp;M Expenses</t>
  </si>
  <si>
    <t xml:space="preserve">Net R&amp;M Expenses </t>
  </si>
  <si>
    <t>Maharashtra State Load Despatch Centre
MYT Petition Formats - Fees and Charges for MSLDC</t>
  </si>
  <si>
    <t>FORM-2A</t>
  </si>
  <si>
    <t>Details of Human Resource Development</t>
  </si>
  <si>
    <t>Period-</t>
  </si>
  <si>
    <t>ACTUALS FOR FY 2020-21 TO FY 2023-24</t>
  </si>
  <si>
    <t>ACTUALS FOR FIRST SIX MONTHS OF THE CURRENT YEAR (FY 2024-25)</t>
  </si>
  <si>
    <t>EXPECTED FOR LAST SIX MONTHS OF FY 2024-25</t>
  </si>
  <si>
    <t>PROJECTED FOR NEXT CONTROL PERIOD</t>
  </si>
  <si>
    <t>A. Details of No. of Employees under HRD</t>
  </si>
  <si>
    <t>Actuals for FY 2020-21 TO FY 2023-24</t>
  </si>
  <si>
    <t>Actuals for Apr-Sep 2024</t>
  </si>
  <si>
    <t>Projected for Oct 24-Mar 25</t>
  </si>
  <si>
    <t>Sr. No</t>
  </si>
  <si>
    <t>Account Code</t>
  </si>
  <si>
    <t>No. of Employees</t>
  </si>
  <si>
    <t xml:space="preserve">Executive </t>
  </si>
  <si>
    <t>Non Executive</t>
  </si>
  <si>
    <t>Total</t>
  </si>
  <si>
    <t>Number of Employees deputed for training</t>
  </si>
  <si>
    <t>Number of Employees deputed for Seminars</t>
  </si>
  <si>
    <t>Number of Employees deputed for Workshops</t>
  </si>
  <si>
    <t>total</t>
  </si>
  <si>
    <t>Period 4: Projected for FY 2025-26 to 2029-30</t>
  </si>
  <si>
    <t>B. Details of Expenditure under HRD</t>
  </si>
  <si>
    <t>Total Expenditure</t>
  </si>
  <si>
    <t>Projected Expenditure</t>
  </si>
  <si>
    <t>Employees deputed for training</t>
  </si>
  <si>
    <t>Employees deputed for Seminars</t>
  </si>
  <si>
    <t>Employees deputed for Workshops</t>
  </si>
  <si>
    <t>Form 3:  Summary of Capital Expenditure and Capitalisation</t>
  </si>
  <si>
    <t>Capital Expenditure</t>
  </si>
  <si>
    <t>Capitalisation</t>
  </si>
  <si>
    <t>IDC</t>
  </si>
  <si>
    <t>Capitalisation + IDC</t>
  </si>
  <si>
    <t>Note</t>
  </si>
  <si>
    <t>Detailed Justification shall be provided for variation in approved capital expenditure and capitalisation vis-a-vis actual capital expenditure and capitalisation</t>
  </si>
  <si>
    <t xml:space="preserve">Form 3.1: Capital Expenditure Plan </t>
  </si>
  <si>
    <t>Project Details</t>
  </si>
  <si>
    <t>Project Code</t>
  </si>
  <si>
    <t>Project Title</t>
  </si>
  <si>
    <t>MERC Approval No.</t>
  </si>
  <si>
    <t>MERC Approval Date</t>
  </si>
  <si>
    <t>Project Purpose</t>
  </si>
  <si>
    <t>Project Start Date</t>
  </si>
  <si>
    <t>Project Completion date 
(Scheduled)</t>
  </si>
  <si>
    <t>Capital Cost</t>
  </si>
  <si>
    <t>Original</t>
  </si>
  <si>
    <t>Revised</t>
  </si>
  <si>
    <t xml:space="preserve">Actual </t>
  </si>
  <si>
    <t>Actual</t>
  </si>
  <si>
    <t>Approved</t>
  </si>
  <si>
    <t>Actual Capital Cost Incurred</t>
  </si>
  <si>
    <t>Deviation = Approved - Actual</t>
  </si>
  <si>
    <t>Change in Scope of Work (a)</t>
  </si>
  <si>
    <t>Material Cost (b)</t>
  </si>
  <si>
    <t>IDC (c)</t>
  </si>
  <si>
    <t>Others (d)</t>
  </si>
  <si>
    <t>Total Deviation (a+b+c+d)</t>
  </si>
  <si>
    <t>a) DPR Schemes</t>
  </si>
  <si>
    <t>(i) In-principle approved by MERC</t>
  </si>
  <si>
    <t>…</t>
  </si>
  <si>
    <t>(ii) Yet to receive in-principle MERC approval</t>
  </si>
  <si>
    <t>b) Non-DPR Schemes</t>
  </si>
  <si>
    <t>TOTAL</t>
  </si>
  <si>
    <r>
      <rPr>
        <b/>
        <sz val="11"/>
        <rFont val="Times New Roman"/>
        <family val="1"/>
      </rPr>
      <t>Note</t>
    </r>
    <r>
      <rPr>
        <sz val="11"/>
        <rFont val="Times New Roman"/>
        <family val="1"/>
      </rPr>
      <t>: Expenses that would be classified as O&amp;M expenses shall not be categorised under non-DPR schemes</t>
    </r>
  </si>
  <si>
    <t xml:space="preserve">Form 3.2: Capitalisation Plan </t>
  </si>
  <si>
    <t>MERC Approved Cost</t>
  </si>
  <si>
    <t>Debt Equity Ratio</t>
  </si>
  <si>
    <t>Grants</t>
  </si>
  <si>
    <t>Approved Start Date</t>
  </si>
  <si>
    <t>Actual Start Date</t>
  </si>
  <si>
    <t>Approved Date of Completion</t>
  </si>
  <si>
    <t>Actual Date of Completion</t>
  </si>
  <si>
    <t>Benefits in Quantified Terms</t>
  </si>
  <si>
    <t>Physical Progress (%)</t>
  </si>
  <si>
    <t>Reasons for Delay, if any</t>
  </si>
  <si>
    <t>Actual Capex till FY 2021-22</t>
  </si>
  <si>
    <t>Estimated</t>
  </si>
  <si>
    <t>Actual Progress till FY 2021-22</t>
  </si>
  <si>
    <t>Change in Scope of Work</t>
  </si>
  <si>
    <t>Any other reason</t>
  </si>
  <si>
    <t>Form 3.3:  Capital Work-in-progress - Project-wise details</t>
  </si>
  <si>
    <t>Approved Project Cost</t>
  </si>
  <si>
    <t>Cumulative Expenditure Incurred till beginning of the Year</t>
  </si>
  <si>
    <t>Capital Expenditure Capitalised</t>
  </si>
  <si>
    <t>Opening CWIP</t>
  </si>
  <si>
    <t>Investment during the year</t>
  </si>
  <si>
    <t>Capital Work in Progress</t>
  </si>
  <si>
    <t>Closing CWIP</t>
  </si>
  <si>
    <t>Works Capitalised</t>
  </si>
  <si>
    <t>Interest Capitalised</t>
  </si>
  <si>
    <t>Expenses Capitalised</t>
  </si>
  <si>
    <t>Total Capitalisation</t>
  </si>
  <si>
    <t>Form 4 (F4.1 (E )+F4.1 (N)) : Assets &amp; Depreciation</t>
  </si>
  <si>
    <t xml:space="preserve">       </t>
  </si>
  <si>
    <t>(A) Gross Fixed Assets</t>
  </si>
  <si>
    <t>Balance at the beginning of the year</t>
  </si>
  <si>
    <t>Additions during the year</t>
  </si>
  <si>
    <t>Retirement of assets during the year</t>
  </si>
  <si>
    <t>Balance at the end of the year</t>
  </si>
  <si>
    <t>(d) = (a)+(b)-(c)</t>
  </si>
  <si>
    <t>(f)</t>
  </si>
  <si>
    <t>(g) = (d)+(e)-(f)</t>
  </si>
  <si>
    <t>(i)</t>
  </si>
  <si>
    <t>(j) = (g)+(h)-(i)</t>
  </si>
  <si>
    <t>(j)</t>
  </si>
  <si>
    <t>(k)</t>
  </si>
  <si>
    <t>(l)</t>
  </si>
  <si>
    <t>(m) = (j)+(k)-(l)</t>
  </si>
  <si>
    <r>
      <rPr>
        <b/>
        <sz val="11"/>
        <rFont val="Times New Roman"/>
        <family val="1"/>
      </rPr>
      <t>Note</t>
    </r>
    <r>
      <rPr>
        <sz val="11"/>
        <rFont val="Times New Roman"/>
        <family val="1"/>
      </rPr>
      <t>: Documentary evidence of all assets put to use during the completed Years shall be provided with this format</t>
    </r>
  </si>
  <si>
    <t>(m)</t>
  </si>
  <si>
    <t>(n)</t>
  </si>
  <si>
    <t>(o)</t>
  </si>
  <si>
    <t>(p) = (m)+(n)-(o)</t>
  </si>
  <si>
    <t>(p)</t>
  </si>
  <si>
    <t>(q)</t>
  </si>
  <si>
    <t>(r)</t>
  </si>
  <si>
    <t>(s) = (p)+(q)-(r)</t>
  </si>
  <si>
    <t>(s)</t>
  </si>
  <si>
    <t>(t)</t>
  </si>
  <si>
    <t>(u)</t>
  </si>
  <si>
    <t>(v) = (s)+(t)-(u)</t>
  </si>
  <si>
    <t>(v)</t>
  </si>
  <si>
    <t>(w)</t>
  </si>
  <si>
    <t>(x)</t>
  </si>
  <si>
    <t>(y) = (v)+(w)-(x)</t>
  </si>
  <si>
    <t>(B) Depreciation</t>
  </si>
  <si>
    <t>Audited</t>
  </si>
  <si>
    <t>Accumulated depreciation at the beginning of the year</t>
  </si>
  <si>
    <t>Withdrawals during the year</t>
  </si>
  <si>
    <t>Accumulated depreciation at the end of the year</t>
  </si>
  <si>
    <r>
      <rPr>
        <b/>
        <sz val="11"/>
        <rFont val="Times New Roman"/>
        <family val="1"/>
      </rPr>
      <t>Note</t>
    </r>
    <r>
      <rPr>
        <sz val="11"/>
        <rFont val="Times New Roman"/>
        <family val="1"/>
      </rPr>
      <t>: 1. MSLDC shall submit certification from the Statutory Auditor for the capping of depreciation at ninety per cent of the allowable capital cost of the asset</t>
    </r>
  </si>
  <si>
    <t>Documentary evidence of all assets put to use during the completed Years shall be provided with this format</t>
  </si>
  <si>
    <t>(C ) Net Fixed Assets</t>
  </si>
  <si>
    <t>Form 4.1 (E): Assets &amp; Depreciation- Existing Schemes (CoD on or before the March 31, 2025 or Assets in-principally approved  before the notification of MERC MYT Regulations 2024)</t>
  </si>
  <si>
    <t>Asset not in use</t>
  </si>
  <si>
    <t>(e) = (a)+(b)-(c)-(d)</t>
  </si>
  <si>
    <t>(j) = (f)+(g)-(h)-(i)</t>
  </si>
  <si>
    <t>(o) = (k)+(l)-(m)-(n)</t>
  </si>
  <si>
    <t>(t) = (p)+(q)-(r)-(s)</t>
  </si>
  <si>
    <r>
      <rPr>
        <b/>
        <sz val="11"/>
        <rFont val="Times New Roman"/>
        <family val="1"/>
      </rPr>
      <t>Note</t>
    </r>
    <r>
      <rPr>
        <sz val="11"/>
        <rFont val="Times New Roman"/>
        <family val="1"/>
      </rPr>
      <t>: 1. Documentary evidence of all assets put to use during the Year shall be provided with this format</t>
    </r>
  </si>
  <si>
    <t>2. Distribution Licensee shall submit certification from the Statutory Auditor for the capping of depreciation at ninety per cent of the allowable capital cost of the asset</t>
  </si>
  <si>
    <r>
      <rPr>
        <b/>
        <sz val="11"/>
        <rFont val="Times New Roman"/>
        <family val="1"/>
      </rPr>
      <t>Note</t>
    </r>
    <r>
      <rPr>
        <sz val="11"/>
        <rFont val="Times New Roman"/>
        <family val="1"/>
      </rPr>
      <t>: Documentary evidence of all assets put to use shall be provided with this format</t>
    </r>
  </si>
  <si>
    <t>Form 4.1 (N): Assets &amp; Depreciation - New Schemes  (not covered under Existing Assets)</t>
  </si>
  <si>
    <t>(x) = (t)+(u)-(v)-(w)</t>
  </si>
  <si>
    <t>Form 5: Interest on Loan Capital</t>
  </si>
  <si>
    <t>A) Normative Loan</t>
  </si>
  <si>
    <t xml:space="preserve">Sr. No. </t>
  </si>
  <si>
    <t>Source of Loan</t>
  </si>
  <si>
    <t>Ensuing Years (Projected)</t>
  </si>
  <si>
    <t>(i) = (h) - (g)</t>
  </si>
  <si>
    <t>Opening Balance of Gross Normative Loan</t>
  </si>
  <si>
    <t>Cumulative Repayment till the year</t>
  </si>
  <si>
    <t>Opening Balance of Net Normative Loan</t>
  </si>
  <si>
    <t>Less: Reduction of Normative Loan due to retirement or replacement of assets</t>
  </si>
  <si>
    <t>Addition of Normative Loan due to capitalisation during the year</t>
  </si>
  <si>
    <t>Repayment of Normative loan during the year</t>
  </si>
  <si>
    <t>Closing Balance of Net Normative Loan</t>
  </si>
  <si>
    <t>Closing Balance of Gross Normative Loan</t>
  </si>
  <si>
    <t>Average Balance of Net Normative Loan</t>
  </si>
  <si>
    <t>Weighted average Rate of Interest on actual Loans (%)</t>
  </si>
  <si>
    <t>Interest Expenses</t>
  </si>
  <si>
    <t>Financing Charges</t>
  </si>
  <si>
    <t>Total Interest &amp; Financing Charges</t>
  </si>
  <si>
    <t>B) Existing Actual Long-term Loans</t>
  </si>
  <si>
    <t>Loan 1</t>
  </si>
  <si>
    <t>Opening Balance of Loan</t>
  </si>
  <si>
    <t>Addition of Loan during the year</t>
  </si>
  <si>
    <t>Loan Repayment during the year</t>
  </si>
  <si>
    <t>Closing Balance of Loan</t>
  </si>
  <si>
    <t>Average Loan Balance</t>
  </si>
  <si>
    <t>Applicable Interest Rate (%)</t>
  </si>
  <si>
    <t>Loan 2</t>
  </si>
  <si>
    <t>Loan 3</t>
  </si>
  <si>
    <t>Gross Interest Expenses</t>
  </si>
  <si>
    <t xml:space="preserve">Net Interest Expenses </t>
  </si>
  <si>
    <t>Note: * In case MTR Order is yet to be issued, MYT Order values are to be entered here</t>
  </si>
  <si>
    <t>Separate detailed computations for FERV component to be submitted</t>
  </si>
  <si>
    <t>C ) Actual Loans drawn during the year</t>
  </si>
  <si>
    <t>Form 6: Interest on Working Capital</t>
  </si>
  <si>
    <t>Revised Normative</t>
  </si>
  <si>
    <t>Computation of Working Capital</t>
  </si>
  <si>
    <t>Operations and Maintenance Expenses for one month</t>
  </si>
  <si>
    <t>One and a half month equivalent of expected revenue from levy of Annual Fixed Charges</t>
  </si>
  <si>
    <t>Total Working Capital Requirement</t>
  </si>
  <si>
    <t>Computation of working capital interest</t>
  </si>
  <si>
    <t>Rate of Interest (% p.a.) - SBI Base Rate plus 150 basis points</t>
  </si>
  <si>
    <t>Actual Working Capital Interest</t>
  </si>
  <si>
    <t xml:space="preserve">Notes: </t>
  </si>
  <si>
    <t>Petitioner should submit documentary evidence for actual interest on working capital incurred</t>
  </si>
  <si>
    <t>* In case MTR Order is yet to be issued, MYT Order values are to be entered here</t>
  </si>
  <si>
    <t>Form 7: RLDC Fees and WRPC Charges</t>
  </si>
  <si>
    <t>RLDC Fees</t>
  </si>
  <si>
    <t>Component 1</t>
  </si>
  <si>
    <t>Component 2</t>
  </si>
  <si>
    <t>.. .. …</t>
  </si>
  <si>
    <t>WRPC Charges</t>
  </si>
  <si>
    <t>&lt;Name of the Transmission Licensee&gt;</t>
  </si>
  <si>
    <t>Form 12 A: Income Tax Rate for Truing-up Years for Fifth Control Period</t>
  </si>
  <si>
    <t>Formula</t>
  </si>
  <si>
    <t>FY 2024-25*</t>
  </si>
  <si>
    <t>Total Gross Income of Regulated Entity (Rs. Crore)</t>
  </si>
  <si>
    <t>Actual Income Tax paid by the Entity #</t>
  </si>
  <si>
    <t>Income Tax Rate of the Company (%) $</t>
  </si>
  <si>
    <t>c = (b/a)</t>
  </si>
  <si>
    <t>Base Rate of Return on Equity (%)</t>
  </si>
  <si>
    <t>Additional Rate of Return on Equity (%)</t>
  </si>
  <si>
    <t>(e )</t>
  </si>
  <si>
    <t>Total Rate of Return on Equity (%)</t>
  </si>
  <si>
    <t>(f)= (d)+(e)</t>
  </si>
  <si>
    <t>Rate of Pre Tax Return on Equity (%)</t>
  </si>
  <si>
    <t>g = f /(1-c)</t>
  </si>
  <si>
    <r>
      <rPr>
        <b/>
        <sz val="11"/>
        <rFont val="Times New Roman"/>
        <family val="1"/>
      </rPr>
      <t>Note</t>
    </r>
    <r>
      <rPr>
        <sz val="11"/>
        <rFont val="Times New Roman"/>
        <family val="1"/>
      </rPr>
      <t xml:space="preserve">: # Actual tax paid on income from any other regulated or unregulated Business or Other Business shall be excluded for the calculation of effective tax rate </t>
    </r>
  </si>
  <si>
    <t># Income tax paid on incentive, efficiency gains, Delayed Payment Charges, Interest on Delayed Payment, Income from Other Business, Income from any other source not considered in ARR is to be excluded from actual Income Tax paid, and shown separately</t>
  </si>
  <si>
    <t xml:space="preserve">$ In case Entity is paying Minimum Alternate Tax (MAT), the Income Tax rate shall be considered as MAT rate including surcharge and cess </t>
  </si>
  <si>
    <t xml:space="preserve">* The lastest available approved income tax rate shall be considered. </t>
  </si>
  <si>
    <t>Form 12 (B):  Computation of Income Tax Rate for Fifth Control Period</t>
  </si>
  <si>
    <t>Income Tax Rate of the Company (%) *</t>
  </si>
  <si>
    <t>Rate of Return on Equity (%)</t>
  </si>
  <si>
    <t>c = b /(1-a)</t>
  </si>
  <si>
    <r>
      <rPr>
        <b/>
        <sz val="11"/>
        <color rgb="FF000000"/>
        <rFont val="Times New Roman"/>
        <family val="1"/>
      </rPr>
      <t>Note</t>
    </r>
    <r>
      <rPr>
        <sz val="11"/>
        <color rgb="FF000000"/>
        <rFont val="Times New Roman"/>
        <family val="1"/>
      </rPr>
      <t xml:space="preserve">: </t>
    </r>
  </si>
  <si>
    <t xml:space="preserve">*The lastest available approved income tax rate shall be considered. </t>
  </si>
  <si>
    <t>Form 9: Return on Regulatory Equity</t>
  </si>
  <si>
    <t>Regulatory Equity at the beginning of the year</t>
  </si>
  <si>
    <t>Capitalisation during the year</t>
  </si>
  <si>
    <t>Consumer Contribution and Grants used during the year for Capitalisation</t>
  </si>
  <si>
    <t>Equity portion of capitalisation during the year</t>
  </si>
  <si>
    <t>Reduction in Equity Capital on account of retirement / replacement of assets</t>
  </si>
  <si>
    <t>Regulatory Equity at the end of the year</t>
  </si>
  <si>
    <t>Return on Equity Computation</t>
  </si>
  <si>
    <t>Return on Regulatory Equity at the beginning of the year</t>
  </si>
  <si>
    <t>Return on Regulatory Equity addition during the year</t>
  </si>
  <si>
    <t>Total Return on Equity</t>
  </si>
  <si>
    <r>
      <rPr>
        <b/>
        <sz val="11"/>
        <rFont val="Times New Roman"/>
        <family val="1"/>
      </rPr>
      <t>Note</t>
    </r>
    <r>
      <rPr>
        <sz val="11"/>
        <rFont val="Times New Roman"/>
        <family val="1"/>
      </rPr>
      <t>: * In case MTR Order is yet to be issued, MYT Order values are to be entered here</t>
    </r>
  </si>
  <si>
    <t xml:space="preserve">Maharashtra State Load Despatch Centre
MYT Petition Formats - Fees and Charges for MSLDC
Form 9:  Return on Regulatory Equity </t>
  </si>
  <si>
    <t xml:space="preserve">Regulatory Equity at the beginning of the year </t>
  </si>
  <si>
    <t>Equity portion of capitalisation during the year #</t>
  </si>
  <si>
    <t>Total Rate of Return on Equity</t>
  </si>
  <si>
    <t>Return on Equity after grossing up with Tax rate $$</t>
  </si>
  <si>
    <t xml:space="preserve">Return on Regulatory Equity at the beginning of the year </t>
  </si>
  <si>
    <t xml:space="preserve">Return on Regulatory Equity addition during the year </t>
  </si>
  <si>
    <r>
      <rPr>
        <b/>
        <sz val="11"/>
        <rFont val="Times New Roman"/>
        <family val="1"/>
      </rPr>
      <t>Note</t>
    </r>
    <r>
      <rPr>
        <sz val="11"/>
        <rFont val="Times New Roman"/>
        <family val="1"/>
      </rPr>
      <t>: # Equity balance for the fourth Control Period exceeding the difference between the sum of cumulative ROE allowed, efficiency gains /losses, incentives and disincentives &amp; income earned from investment of return on equity, and the cumulative equity investment approved by the Commission in previous years, shall be supported by documentary evidence</t>
    </r>
  </si>
  <si>
    <t>$$ Retrun on Equity to be grossed up with the Income tax rate as computed in Form 8.</t>
  </si>
  <si>
    <t>Note:
 For Multi Year Tariff Projections, the Income tax rate shall be allowed as the latest available Income Tax Rate approved by the Commission. For true-up the Income Tax rate shall be approved based on the actual Income Tax paid by the MSLDC, subject to prudence check</t>
  </si>
  <si>
    <t>Form 10:  Non-Tariff Income</t>
  </si>
  <si>
    <t>Income from Sale of Scrap</t>
  </si>
  <si>
    <t>Interest income on advances to suppliers/contractors</t>
  </si>
  <si>
    <t>Income from rental from staff quarters</t>
  </si>
  <si>
    <t>Income from sale of Tender documents</t>
  </si>
  <si>
    <t>Form 11: Revenue from Transmission System Users and others</t>
  </si>
  <si>
    <t>Year : FY 2022-23</t>
  </si>
  <si>
    <t>S. No.</t>
  </si>
  <si>
    <t>Apr</t>
  </si>
  <si>
    <t>May</t>
  </si>
  <si>
    <t>Jun</t>
  </si>
  <si>
    <t>Jul</t>
  </si>
  <si>
    <t>Aug</t>
  </si>
  <si>
    <t>Sep</t>
  </si>
  <si>
    <t>Oct</t>
  </si>
  <si>
    <t>Nov</t>
  </si>
  <si>
    <t>Dec</t>
  </si>
  <si>
    <t>Jan</t>
  </si>
  <si>
    <t>Feb</t>
  </si>
  <si>
    <t>Mar</t>
  </si>
  <si>
    <t>Revenue from Annual Fixed Charges</t>
  </si>
  <si>
    <t>Transmission System User 1</t>
  </si>
  <si>
    <t>Transmission System User 2</t>
  </si>
  <si>
    <t>Income from Open Access Charges</t>
  </si>
  <si>
    <t>Any other revenue/ Income</t>
  </si>
  <si>
    <t>Total Revenue</t>
  </si>
  <si>
    <t>Year : FY 2023-24</t>
  </si>
  <si>
    <t>Year : FY 2024-25</t>
  </si>
  <si>
    <t>Form 12: Coincident and Non-Coincident Peak Demand</t>
  </si>
  <si>
    <t>Year : FY 2023-24 (Actual)</t>
  </si>
  <si>
    <t>A) Coincident Peak Demand (MW)</t>
  </si>
  <si>
    <t>MW</t>
  </si>
  <si>
    <t>B) Non-Coincident Peak Demand (MW)</t>
  </si>
  <si>
    <t>C) Average of CPD and NCPD (MW)</t>
  </si>
  <si>
    <t>Year : FY 24-25 (Actual)</t>
  </si>
  <si>
    <t>Billed Open Access Demand of Partial Open Access Users</t>
  </si>
  <si>
    <t>Projected Open Access Demand of Partial Open Access Users*</t>
  </si>
  <si>
    <t xml:space="preserve">*Justification and basis for projection to be submitted </t>
  </si>
  <si>
    <t>Form 13: Sharing of MSLDC Charges (without POA Capacity)</t>
  </si>
  <si>
    <t>A) Base Transmission Capacity Rights</t>
  </si>
  <si>
    <t>TCR (MW)</t>
  </si>
  <si>
    <t>TCR (%)</t>
  </si>
  <si>
    <t>…..</t>
  </si>
  <si>
    <t>Total Transmission Capacity Rights of all TSUs</t>
  </si>
  <si>
    <t>B) Sharing of MSLDC Charges</t>
  </si>
  <si>
    <t>... ....</t>
  </si>
  <si>
    <t xml:space="preserve">Form 14:  Truing-up Summary </t>
  </si>
  <si>
    <t>Deviation</t>
  </si>
  <si>
    <t>Reason for Deviation</t>
  </si>
  <si>
    <t>Controllable</t>
  </si>
  <si>
    <t>Uncontrollable</t>
  </si>
  <si>
    <t>Net Entitlement after sharing of gains/(losses)</t>
  </si>
  <si>
    <t>Revenue</t>
  </si>
  <si>
    <t>Revenue Gap/(Surplus)</t>
  </si>
  <si>
    <t>Note: Please give detailed explanation separately for the deviations on account of uncontrollable factors</t>
  </si>
  <si>
    <t>Form 15:  Quantum of Energy Transmitted and Intra-State Transmission Loss</t>
  </si>
  <si>
    <t xml:space="preserve">Quantum of Energy Transmitted </t>
  </si>
  <si>
    <t>(MU)</t>
  </si>
  <si>
    <t>April-March      (Actual )</t>
  </si>
  <si>
    <t>April-March      (Actual)</t>
  </si>
  <si>
    <t xml:space="preserve">(g) </t>
  </si>
  <si>
    <t>(h) = (g) + (f)</t>
  </si>
  <si>
    <t>Distribution Licensees</t>
  </si>
  <si>
    <t>Discom 1</t>
  </si>
  <si>
    <t>Discom 2</t>
  </si>
  <si>
    <t>Discom 3</t>
  </si>
  <si>
    <t>Sub-total</t>
  </si>
  <si>
    <t>Traders</t>
  </si>
  <si>
    <t>Trader 1</t>
  </si>
  <si>
    <t>Trader 2</t>
  </si>
  <si>
    <t>Trader 3</t>
  </si>
  <si>
    <t>Others</t>
  </si>
  <si>
    <t>Other 1</t>
  </si>
  <si>
    <t>Other 2</t>
  </si>
  <si>
    <t>Other 3</t>
  </si>
  <si>
    <r>
      <rPr>
        <b/>
        <sz val="11"/>
        <rFont val="Times New Roman"/>
        <family val="1"/>
      </rPr>
      <t>Note</t>
    </r>
    <r>
      <rPr>
        <sz val="11"/>
        <rFont val="Times New Roman"/>
        <family val="1"/>
      </rPr>
      <t>: * - In case MTR Order is yet to be issued, then MYT Order values to be captured under this column</t>
    </r>
  </si>
  <si>
    <t>Intra-State Transmission Loss</t>
  </si>
  <si>
    <t>Intra-State Transmission Loss (MU)</t>
  </si>
  <si>
    <t>Intra-State Transmission Loss (%)</t>
  </si>
  <si>
    <t>Form 16:  Depreciation Schedule</t>
  </si>
  <si>
    <t>Land</t>
  </si>
  <si>
    <t>Year</t>
  </si>
  <si>
    <t>Asset as on 1st April/Asset Addition during the Year</t>
  </si>
  <si>
    <t>Depreciation as on 1st April 2005</t>
  </si>
  <si>
    <t>Depreciation Rate for that Year</t>
  </si>
  <si>
    <t>Depreciation during the Year</t>
  </si>
  <si>
    <t>Depriciation as on 1st april</t>
  </si>
  <si>
    <t>Asset crossing 90% depreciation</t>
  </si>
  <si>
    <t>Remaining Depreciable value</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</si>
  <si>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</si>
  <si>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</si>
  <si>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</si>
  <si>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</si>
  <si>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</si>
  <si>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</si>
  <si>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</si>
  <si>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</si>
  <si>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</si>
  <si>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</si>
  <si>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</si>
  <si>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</si>
  <si>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</si>
  <si>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</si>
  <si>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</si>
  <si>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</si>
  <si>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</si>
  <si>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</si>
  <si>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</si>
  <si>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 xml:space="preserve">Opening </t>
  </si>
  <si>
    <t>Addition</t>
  </si>
  <si>
    <t>2024-25</t>
  </si>
  <si>
    <t>2025-26</t>
  </si>
  <si>
    <t>2026-27</t>
  </si>
  <si>
    <t>2027-28</t>
  </si>
  <si>
    <t>2028-29</t>
  </si>
  <si>
    <t>2029-30</t>
  </si>
  <si>
    <t>Building</t>
  </si>
  <si>
    <t>Asset as on 1st April 2010</t>
  </si>
  <si>
    <t>Hydraulic</t>
  </si>
  <si>
    <t>Other Civil work</t>
  </si>
  <si>
    <t>Plant and Machinery</t>
  </si>
  <si>
    <t>Lines and Cable Network</t>
  </si>
  <si>
    <t xml:space="preserve"> </t>
  </si>
  <si>
    <t>Vehicle</t>
  </si>
  <si>
    <t>Furniture</t>
  </si>
  <si>
    <t>(Rs in Lakhs)</t>
  </si>
  <si>
    <t>Apr-Sep (Actual)</t>
  </si>
  <si>
    <t>Oct-March (Projected)</t>
  </si>
  <si>
    <t>Opening LDC Development Fund</t>
  </si>
  <si>
    <t>Additions in LDC development fund during the year</t>
  </si>
  <si>
    <t>Total LDC development fund</t>
  </si>
  <si>
    <t>Less: Utilization for capital expenses</t>
  </si>
  <si>
    <t>Less : Utilization for revenue expenses</t>
  </si>
  <si>
    <t>Less : Utilization of LDCD fund to meet shortfall</t>
  </si>
  <si>
    <t>Used for…</t>
  </si>
  <si>
    <t>Net LDC development fund as on 31st March of the year</t>
  </si>
  <si>
    <t>Average fund accumulated during the year</t>
  </si>
  <si>
    <t>Interest rate</t>
  </si>
  <si>
    <t>Income earned on LDCD fund</t>
  </si>
  <si>
    <r>
      <rPr>
        <b/>
        <sz val="10"/>
        <rFont val="Arial"/>
        <family val="2"/>
      </rPr>
      <t>Note</t>
    </r>
    <r>
      <rPr>
        <sz val="10"/>
        <rFont val="Arial"/>
        <family val="2"/>
      </rPr>
      <t>:-  Break-up of additions and utilization shall be provided in separate sheet for each year</t>
    </r>
  </si>
  <si>
    <t>Form 18:  Key Performance Indicators for MSLDC</t>
  </si>
  <si>
    <t>Parameters</t>
  </si>
  <si>
    <t>Maximum Marks</t>
  </si>
  <si>
    <t>Actual Marks obtained</t>
  </si>
  <si>
    <t>Performance/ Marks Criteria</t>
  </si>
  <si>
    <t>(A)
Stakeholders Satisfaction
(Overall Weightage 40%)</t>
  </si>
  <si>
    <t>Maintain 99.95% availability of MSLDC website, Web based Scheduling system and Web based STOA websites</t>
  </si>
  <si>
    <t>P= IF (A&gt;=99.95, 100, (100-(99.95-A))/100*80</t>
  </si>
  <si>
    <t>A= Weighted average monthly performance of 3 websites.
Monthly Performance= (M-O)/M
M: Minutes in a month (43,800)
O: Total minutes of outage i.e. non-availability in month</t>
  </si>
  <si>
    <t>Issuance of weekly DSM bill / Reactive bills to Stake holders</t>
  </si>
  <si>
    <t>P=IF (A=52,80, IF(A&gt;45,60, IF(A&gt;=40,40,0)))</t>
  </si>
  <si>
    <t>A= Number of weeks in a year for issuance of weekly DSM/Reactive bill to stakeholder.</t>
  </si>
  <si>
    <t>Issuances of monthly State Energy Account Statement</t>
  </si>
  <si>
    <t>P=IF (A&lt;=20,80, IF(A&gt;20,60, IF(A&gt;30,40,0)))</t>
  </si>
  <si>
    <t>A= Number of working days (in M+1 month for M month-for 12 months in year) after issuing DSM bill.</t>
  </si>
  <si>
    <t>Declaration of Monthly State Transmission Loss</t>
  </si>
  <si>
    <t>P=IF (A=12,80,0)</t>
  </si>
  <si>
    <t>A= Number of Months in a year for the issuance of Monthly State Transmission Loss.</t>
  </si>
  <si>
    <t>Submission of Detailed Grid Disturbance report (1000 MW load / generation loss or tripping of 765kV and 400 kV bus in 765/400 kV substation) timely to MERC</t>
  </si>
  <si>
    <t>P=IF (A&lt;=15,80, IF(A&lt;=20,60,IF(A&lt;=25,40,0)))</t>
  </si>
  <si>
    <t>A= Number of working days within which 100% of detail Grid Disturbance Report is submitted in prescribed format to WRLDC/MERC</t>
  </si>
  <si>
    <t>(B)
Financial Prudence
(Over-all weightage 20%)</t>
  </si>
  <si>
    <t>Variance in Capex Utilization: Minimum variance (+/-) of actual CAPEX from CAPEX as allowed by MERC</t>
  </si>
  <si>
    <t>P= IF (V&lt;=15, 100, 100-(85-(100- V)))/100*80</t>
  </si>
  <si>
    <t xml:space="preserve">V= Mode(A-B)/B*100
A: Actual Expenditure incurred
B: CAPEX approved by MERC
Target= 15% or less Variance
</t>
  </si>
  <si>
    <t>Statutory Compliance of the following Audits:</t>
  </si>
  <si>
    <t>P= A/B*120</t>
  </si>
  <si>
    <t>i. Internal Audit (Phase I)</t>
  </si>
  <si>
    <t>A: Number of Audits complied during the year
Target (B)= 4 Audits</t>
  </si>
  <si>
    <t>ii. Internal Audit (Phase II)</t>
  </si>
  <si>
    <t>iii. Physical Verification Audit</t>
  </si>
  <si>
    <t>Subtotal</t>
  </si>
  <si>
    <t>(C)
Learning &amp; Growth (Over-all weightage 20%)</t>
  </si>
  <si>
    <t>New technology adoption / R&amp;D</t>
  </si>
  <si>
    <t>P= IF (A&gt;=B, 60,0)</t>
  </si>
  <si>
    <t>A: number of new technologies adopted
B: Target number (1)</t>
  </si>
  <si>
    <t>Lessons learnt and knowledge dissemination by way of data intensive reports</t>
  </si>
  <si>
    <t>P= IF (A&gt;=B, 60, IF (A=1, 30, 0))</t>
  </si>
  <si>
    <t>A: Number of reports released
B: Target number (2)</t>
  </si>
  <si>
    <t>Adequacy of HR - % of certified operators among eligible operators: 80% or more certified operators among eligible employees</t>
  </si>
  <si>
    <t>P= IF (A&gt;= 80, 100, 100-(80-A))/100*40</t>
  </si>
  <si>
    <t>A= No. of employees certified as on last date of the financial year/No. of employees eligible for certification as on last date of the financial year*100</t>
  </si>
  <si>
    <t>Capacity Building: No. of man- days per year per eligible employee</t>
  </si>
  <si>
    <t>P= {100-(100-A)/2}/100*40</t>
  </si>
  <si>
    <t xml:space="preserve">A= Percentage no. of employees trained for more than or equal to mandated 7 days as on last date of the financial year </t>
  </si>
  <si>
    <t>(D)
Internal Process (Over-all weightage 20%)</t>
  </si>
  <si>
    <t>Availability of Decision Support System – SCADA</t>
  </si>
  <si>
    <t>A= Average of monthly performance
Monthly Performance= (M-D)/M
M: Hours in a month
D: Downtime in hours in case Monthly Performance of any month is 75% or below, Marks shall be zero</t>
  </si>
  <si>
    <t>Availability of IT infrastructure hardware and software: such as Servers, Firewalls, Routers, Backup Appliances, Managed switches, Websites, IT infrastructure on Cloud etc.</t>
  </si>
  <si>
    <t>P= A/B*60</t>
  </si>
  <si>
    <t>A= Number of days particular facility/infrastructure available in working condition)
B= No. of days in the corresponding year</t>
  </si>
  <si>
    <t>ISO Certification</t>
  </si>
  <si>
    <t>P= A/B*20</t>
  </si>
  <si>
    <t>A= Number of ISO standards that are active for all days in a year.
B=Number of ISO standards (4)</t>
  </si>
  <si>
    <t>Process Documentation – Black Start, Reactive Power: Update Black Start Procedure by 31st January every year and Update Reactive Power Document by 31st December every year</t>
  </si>
  <si>
    <t>P= IF (A=2,40, IF(A=1,20,0))</t>
  </si>
  <si>
    <t>A= Number of documents updated and uploaded within stipulated time.</t>
  </si>
  <si>
    <t>Form 18.1:  KPIs for MSLDC: Stakeholders Satisfaction</t>
  </si>
  <si>
    <t xml:space="preserve">I) Availability of Websites </t>
  </si>
  <si>
    <t>For FY 2025-26</t>
  </si>
  <si>
    <t>Total minutes of outage i.e. non-availability of SLDC website in month</t>
  </si>
  <si>
    <t>Total minutes of outage i.e. non-availability of Web based Scheduling system (in month)</t>
  </si>
  <si>
    <t>Total minutes of outage i.e. non-availability of Web based STOA websites (in month)</t>
  </si>
  <si>
    <t>For FY 2026-27</t>
  </si>
  <si>
    <t>For FY 2027-28</t>
  </si>
  <si>
    <t>For FY 2028-29</t>
  </si>
  <si>
    <t>For FY 2029-30</t>
  </si>
  <si>
    <t>2) Issuance of weekly DSM bill / Reactive bills to Stake holders</t>
  </si>
  <si>
    <t>Number of weeks in a year for issuance of weekly DSM bill to stakeholder.</t>
  </si>
  <si>
    <t>Number of weeks in a year for issuance of weekly Reactive Power bill to stakeholder.</t>
  </si>
  <si>
    <t>3) Issuances of monthly State Energy Account Statement</t>
  </si>
  <si>
    <t>Number of working days (in M+1 month for M month-for 12 months in year) after issuing DSM bill.</t>
  </si>
  <si>
    <t>(4) Declaration of Monthly State Transmission Loss</t>
  </si>
  <si>
    <t>Number of Months in a year for the issuance of Monthly State Transmission Loss.</t>
  </si>
  <si>
    <t>(5) Submission of Detailed Grid Disturbance report</t>
  </si>
  <si>
    <t>FY 2029-30 (Half Year)</t>
  </si>
  <si>
    <t>Grid Disturbance for 1000 MW load / generation loss or tripping of 765kV and 400 kV bus in 765/400 kV substation</t>
  </si>
  <si>
    <t xml:space="preserve">Number of working days within which 100% of detail Grid Disturbance Report is submitted in prescribed format to WRLDC/MERC
</t>
  </si>
  <si>
    <t>.</t>
  </si>
  <si>
    <t>Form 18.2:  KPIs for MSLDC: Financial Prudence</t>
  </si>
  <si>
    <t>(6) Variance in Capex Utilization</t>
  </si>
  <si>
    <t>Actual Expenditure incurred</t>
  </si>
  <si>
    <t>CAPEX approved by MERC</t>
  </si>
  <si>
    <t>(7) Audit Compliances: Number of Audits complied during the year</t>
  </si>
  <si>
    <t>Internal Audits (Phase I)</t>
  </si>
  <si>
    <t>Internal Audits (Phase II)</t>
  </si>
  <si>
    <t>Physical Verification Audit</t>
  </si>
  <si>
    <t>Form 18.3:  KPIs for MSLDC: Learning &amp; Growth</t>
  </si>
  <si>
    <t>(8) New technology adoption / R&amp;D</t>
  </si>
  <si>
    <t xml:space="preserve"> Number of new technologies adopted</t>
  </si>
  <si>
    <t>(9) Lessons learnt and knowledge dissemination by way of data intensive reports</t>
  </si>
  <si>
    <t xml:space="preserve"> Number of reports released in a year</t>
  </si>
  <si>
    <t>(10) HR Training Certification</t>
  </si>
  <si>
    <t>No. of employees eligible for certification as on last date of the financial year</t>
  </si>
  <si>
    <t>No. of employees certified as on last date of the financial year</t>
  </si>
  <si>
    <t>(11) Capacity Building: No. of man- days per year per eligible employee</t>
  </si>
  <si>
    <t xml:space="preserve">Percentage no. of employees trained for more than or equal to mandated 7 days as on last date of the financial year </t>
  </si>
  <si>
    <t>Form 18.4:  KPIs for MSLDC: Internal Process</t>
  </si>
  <si>
    <t>(12) Availability of Decision Support System – SCADA</t>
  </si>
  <si>
    <t>Downtime of SCADA system in hours (In Month)</t>
  </si>
  <si>
    <t>(13) Availability of IT infrastructure hardware and software: Number of days particular facility/infrastructure available in working condition</t>
  </si>
  <si>
    <t>Servers</t>
  </si>
  <si>
    <t>Firewalls</t>
  </si>
  <si>
    <t>Routers</t>
  </si>
  <si>
    <t>Backup Appliances</t>
  </si>
  <si>
    <t>Managed switches</t>
  </si>
  <si>
    <t>IT infrastrucuture on cloud</t>
  </si>
  <si>
    <t>(14) ISO Certification</t>
  </si>
  <si>
    <t>Number of ISO standards that are active for all days in a year</t>
  </si>
  <si>
    <t>(15) Process Documentation: Number of documents updated and uploaded within stipulated time</t>
  </si>
  <si>
    <t>Black Start (Update Black Start Procedure by 31st January every year)</t>
  </si>
  <si>
    <t>Reactive Power (Update Reactive Power Document by 31st December every year)</t>
  </si>
  <si>
    <t>MAHARASHTRA STATE LOAD DESPATCH CENTRE (PC 8000 &amp; 8100)</t>
  </si>
  <si>
    <t>TRIAL BALANCE AS ON 31.03.2023</t>
  </si>
  <si>
    <t>Account Number</t>
  </si>
  <si>
    <t>Profit Center</t>
  </si>
  <si>
    <t>Location</t>
  </si>
  <si>
    <t>FS Item/Account</t>
  </si>
  <si>
    <t>FY 2022    1 -  16</t>
  </si>
  <si>
    <t>Airoli</t>
  </si>
  <si>
    <t>Share Capital Account - Equity</t>
  </si>
  <si>
    <t>Grant in Aid from GOI</t>
  </si>
  <si>
    <t>Scholarship,NSC, Cash priz, Death Assistance,</t>
  </si>
  <si>
    <t>Ambazari</t>
  </si>
  <si>
    <t>Reserve for LDCD Funds</t>
  </si>
  <si>
    <t>Net Revenue &amp; Apppropriation A/c</t>
  </si>
  <si>
    <t>Defferred Tax Liability</t>
  </si>
  <si>
    <t>Security Deposits</t>
  </si>
  <si>
    <t>Earnest Money Deposits From Vendors</t>
  </si>
  <si>
    <t>Rentention money  of Vendor</t>
  </si>
  <si>
    <t>Misc. Deposits from Vender</t>
  </si>
  <si>
    <t>Advances from Customer</t>
  </si>
  <si>
    <t>GL for liquidity charges from vendor</t>
  </si>
  <si>
    <t>GR / IR CLEARING Account</t>
  </si>
  <si>
    <t>EMD Dummy entry</t>
  </si>
  <si>
    <t>Vendor/customer Reconciliation GL (zero balan</t>
  </si>
  <si>
    <t>Sundry Creditors Payable Domestic (other than</t>
  </si>
  <si>
    <t>Sundry Creditors FI Vendor</t>
  </si>
  <si>
    <t>Sundry Creditors - Inter Company</t>
  </si>
  <si>
    <t>Sundry Creditors Employees</t>
  </si>
  <si>
    <t>Traveling Expenses payable</t>
  </si>
  <si>
    <t>Unpaid Salary</t>
  </si>
  <si>
    <t>Net Salary Payable</t>
  </si>
  <si>
    <t>Liability for Medical expenses</t>
  </si>
  <si>
    <t>Misc.deposits from Employee</t>
  </si>
  <si>
    <t>Recovery from Employee towardsMonthlyMonetory</t>
  </si>
  <si>
    <t>Board's contr.tothe MSEBEmp.'sDepen.WelfareTr</t>
  </si>
  <si>
    <t>Miscellaneous Recoveries from Staff</t>
  </si>
  <si>
    <t>Recovery-LTC Advance</t>
  </si>
  <si>
    <t>Recovery-Ta Bill</t>
  </si>
  <si>
    <t>Income tax deducted at source TDS payable sal</t>
  </si>
  <si>
    <t>Regular CPF Recovery from Employee</t>
  </si>
  <si>
    <t>Employee's Voluntary Contribution to C.P.F</t>
  </si>
  <si>
    <t>Recovery of CPF Advance Principal Amount</t>
  </si>
  <si>
    <t>Interest (Regular) Recovery on CPF Advance</t>
  </si>
  <si>
    <t>1% BOT Interest recovered on CPF Advance</t>
  </si>
  <si>
    <t>Board's   Contribution to P.F</t>
  </si>
  <si>
    <t>Board's   Contribution to F.P.S</t>
  </si>
  <si>
    <t>LIFE Insurance Preium Recovered</t>
  </si>
  <si>
    <t>Professional Tax Recovered</t>
  </si>
  <si>
    <t>Credit Society</t>
  </si>
  <si>
    <t>Employees contribution to ESIS</t>
  </si>
  <si>
    <t>Welfare fund cont.recovered fromemployeeunder</t>
  </si>
  <si>
    <t>Contribution from employeetowardsstaffwelfare</t>
  </si>
  <si>
    <t>Relief Fund</t>
  </si>
  <si>
    <t>Medi-claim Top up Premium</t>
  </si>
  <si>
    <t>Medi-Claim Compulsary Premium through Salary</t>
  </si>
  <si>
    <t>Liability for Employee Accident Insurance Pol</t>
  </si>
  <si>
    <t>Provision for Gratuity</t>
  </si>
  <si>
    <t>Provision for Leave Encashment</t>
  </si>
  <si>
    <t>MSEB CPF-Shortfall in fair value of Planned A</t>
  </si>
  <si>
    <t>TDS PAYABLE INT.( OTHER THAN SECU.)194A</t>
  </si>
  <si>
    <t>TDS PAYABLE CONTRACTOR 194C</t>
  </si>
  <si>
    <t>TDS PAYABLE ON OSL PROVISION</t>
  </si>
  <si>
    <t>TDS PAYABLE PROF. FEE / TECH SERVICES 194J</t>
  </si>
  <si>
    <t>TDS WORKS CONTRACT</t>
  </si>
  <si>
    <t>TDS Central  GST on Purchases</t>
  </si>
  <si>
    <t>TDS on State GST Purchases</t>
  </si>
  <si>
    <t>TDS Integrated GST on Purchases</t>
  </si>
  <si>
    <t>STATE SALES TAX PAYABLE</t>
  </si>
  <si>
    <t>GSTon income - CGST</t>
  </si>
  <si>
    <t>GST on income SGST</t>
  </si>
  <si>
    <t>GST on income IGST</t>
  </si>
  <si>
    <t>services tax as per reverse mechanism</t>
  </si>
  <si>
    <t>Reverse Charge on expenses  CGST</t>
  </si>
  <si>
    <t>Reverse Charge on expenses  SGST</t>
  </si>
  <si>
    <t>Reverse Charge on expenses  IGST</t>
  </si>
  <si>
    <t>Deduction of Labour Cess Amt</t>
  </si>
  <si>
    <t>Deduction of Workmen Compensation Insurance A</t>
  </si>
  <si>
    <t>Provision for Capital Works</t>
  </si>
  <si>
    <t>Provision for TDS against GR/IR</t>
  </si>
  <si>
    <t>Provision for Expenses  - Others</t>
  </si>
  <si>
    <t>Provision for Expenses - Employees</t>
  </si>
  <si>
    <t>Fine, Notice Pay, Recovery from Employee</t>
  </si>
  <si>
    <t>Liability towards staff welfare Fund withBoar</t>
  </si>
  <si>
    <t>Board of Trustees P.F. &amp; Final Settlement</t>
  </si>
  <si>
    <t>MSEB Employees Dependent Welfare Trust A/c</t>
  </si>
  <si>
    <t>Stale Cheques</t>
  </si>
  <si>
    <t>Designated Current Account for thrid party pa</t>
  </si>
  <si>
    <t>REDSM current POOL account</t>
  </si>
  <si>
    <t>DSM current POOL account</t>
  </si>
  <si>
    <t>MSPC reimbur. Current Pool Account</t>
  </si>
  <si>
    <t>MSLDC Op DSM Pool  A/C</t>
  </si>
  <si>
    <t>MSLDC Reactive Pool  A/C for liability</t>
  </si>
  <si>
    <t>LandOwnedUnderfullTitle-Volt.ATOC( Below 66 K</t>
  </si>
  <si>
    <t>Land Owned Under Full Title -Voltage  L (765</t>
  </si>
  <si>
    <t>Land held under Lease-Voltage A TO C( Below 6</t>
  </si>
  <si>
    <t>Land  held under  Lease  - volt. L 765 KV</t>
  </si>
  <si>
    <t>TRANSMISSION BUILDING -CIVIL.- A to C(Below 6</t>
  </si>
  <si>
    <t>office Buildings</t>
  </si>
  <si>
    <t>Residential Colony for Staff</t>
  </si>
  <si>
    <t>Store Shed</t>
  </si>
  <si>
    <t>Other Buildings</t>
  </si>
  <si>
    <t>Cooling Water System/Cooling Tower</t>
  </si>
  <si>
    <t>Plant and PipelinesdorWaterSupply in resid.co</t>
  </si>
  <si>
    <t>Pacca Roads</t>
  </si>
  <si>
    <t>Kutcha Roads</t>
  </si>
  <si>
    <t>Miscellaneous Civil Works</t>
  </si>
  <si>
    <t>Substation - Volt.A TO C &lt;(66 KV)</t>
  </si>
  <si>
    <t>Substation- Volt.H220KV (220 KV)</t>
  </si>
  <si>
    <t>Substation- Volt.J400KV (400 KV)</t>
  </si>
  <si>
    <t>Material Handling Equipment Earth movers,bull</t>
  </si>
  <si>
    <t>Batteries including charging equipment</t>
  </si>
  <si>
    <t>Fabrication / Work Shop Plant &amp; Equipment</t>
  </si>
  <si>
    <t>Communication Equipment</t>
  </si>
  <si>
    <t>Communication equipment -phone lines &amp; phones</t>
  </si>
  <si>
    <t>Static Machine Tools &amp; Equipment</t>
  </si>
  <si>
    <t>Airconditioning Plant Static</t>
  </si>
  <si>
    <t>Airconditioning Plant  Portable</t>
  </si>
  <si>
    <t>Refrigerators &amp; Water Coolers</t>
  </si>
  <si>
    <t>Meter Testing Laboratory Tools &amp; Equipment</t>
  </si>
  <si>
    <t>Tools &amp; Tackles</t>
  </si>
  <si>
    <t>Other Miscellaneous Equipments -Substation</t>
  </si>
  <si>
    <t>UndergroundCables incl joint &amp; disconnecting</t>
  </si>
  <si>
    <t>Street lighting and Signle System</t>
  </si>
  <si>
    <t>Miscellaneous Equipments- Lines</t>
  </si>
  <si>
    <t>Jeep &amp; Motor cars</t>
  </si>
  <si>
    <t>Furnitures &amp; Fixtures</t>
  </si>
  <si>
    <t>Electrical wiring ,light &amp; fan installations</t>
  </si>
  <si>
    <t>Computer Software - Intangible Assets</t>
  </si>
  <si>
    <t>Computer/printer/UPS/peripherials</t>
  </si>
  <si>
    <t>Fax Machine</t>
  </si>
  <si>
    <t>Water Cooler / Purifier</t>
  </si>
  <si>
    <t>Xerox Machine</t>
  </si>
  <si>
    <t>Air conditioner</t>
  </si>
  <si>
    <t>Other Office Equipment</t>
  </si>
  <si>
    <t>SLDC Hardware</t>
  </si>
  <si>
    <t>SLDC Telephone Equipment</t>
  </si>
  <si>
    <t>SLDC Spare</t>
  </si>
  <si>
    <t>Acc. Depre. LdHeldunderLease-Volt.AtoC(Below6</t>
  </si>
  <si>
    <t>Acc. Depre. Land  held under  Lease -  Volt L</t>
  </si>
  <si>
    <t>Acc.Dep.BldgCont.Trans.Instal.-Volt.AtoC(Belo</t>
  </si>
  <si>
    <t>Acc.Depre.office Buildings</t>
  </si>
  <si>
    <t>Acc.Depre.Residential Colony for Staff</t>
  </si>
  <si>
    <t>Acc.Depre.Store Shed</t>
  </si>
  <si>
    <t>Acc.Depre.Other Buildings Hydraulic Works</t>
  </si>
  <si>
    <t>Acc.Depre.Cooling Water System/Cooling tower</t>
  </si>
  <si>
    <t>Acc.Depre.Plant&amp;PipelinesdorWaterSupplyinResi</t>
  </si>
  <si>
    <t>Acc.Depre.Pacca Roads</t>
  </si>
  <si>
    <t>Acc.Depre.Kutcha Roads</t>
  </si>
  <si>
    <t>Acc.Depre.Miscellaneous civil works</t>
  </si>
  <si>
    <t>Acc. Depre.Sub-Station-Voltage.AtoC( Below 66</t>
  </si>
  <si>
    <t>Acc. Depre.Substation- Volt.H220KV</t>
  </si>
  <si>
    <t>Acc. Depre.Substation- Volt.J400KV</t>
  </si>
  <si>
    <t>Acc. Depre.MaterialHandlingEquipEarthMovers,b</t>
  </si>
  <si>
    <t>Acc.Depre.Batteries Including Charging Equipm</t>
  </si>
  <si>
    <t>Acc.Depre.Fabricationshop/workshopPlant&amp;Equip</t>
  </si>
  <si>
    <t>Acc.Depre.Communication equipment</t>
  </si>
  <si>
    <t>Acc.Depre.Commun.Equip-Telephonelines&amp;Telepho</t>
  </si>
  <si>
    <t>Acc.Depre.Static Machine Tools &amp; Equipment</t>
  </si>
  <si>
    <t>Acc.Depre.Airconditioning Plant static</t>
  </si>
  <si>
    <t>Acc.Depre.Airconditioning Plant  Portable</t>
  </si>
  <si>
    <t>Acc.Depre.Refrigerators &amp; Water Coolers</t>
  </si>
  <si>
    <t>Acc.Depre.Meter Testing Laboratory Tools&amp;Equi</t>
  </si>
  <si>
    <t>Acc.Depre.Tools &amp; Tackles</t>
  </si>
  <si>
    <t>Acc.Depre.Other Misc Equipments</t>
  </si>
  <si>
    <t>Acc.Depre.UGCables incld jt boxes&amp;disconnecti</t>
  </si>
  <si>
    <t>Acc.Depre-Street lighting</t>
  </si>
  <si>
    <t>Acc.Depre.Miscellaneous equipments</t>
  </si>
  <si>
    <t>Acc.Depre.Jeep &amp; Motor cars</t>
  </si>
  <si>
    <t>Acc.Depre.Furniture &amp; Fixtures</t>
  </si>
  <si>
    <t>Acc.Dep.Electrical wiring light&amp;fan installat</t>
  </si>
  <si>
    <t>Amortisation of Software - Intangible Assets</t>
  </si>
  <si>
    <t>Acc.Depre.Computer/printer/UPS/peripherials</t>
  </si>
  <si>
    <t>Acc.Depre.Fax Machine</t>
  </si>
  <si>
    <t>Acc.Depre.Water Cooler</t>
  </si>
  <si>
    <t>Acc.Depre.Xerox Machine</t>
  </si>
  <si>
    <t>Acc.Depre.Air conditioner</t>
  </si>
  <si>
    <t>Acc.Depre.Office Equipment</t>
  </si>
  <si>
    <t>ACC. SLDC HARDWARE</t>
  </si>
  <si>
    <t>Acc.SLDC Telecome Equipment</t>
  </si>
  <si>
    <t>Acc.SLDC Spare</t>
  </si>
  <si>
    <t>ACC Dep-Asset held for Sale (Scrap)</t>
  </si>
  <si>
    <t>Asset Sale Clearing</t>
  </si>
  <si>
    <t>Asset held for sale (Scrap)</t>
  </si>
  <si>
    <t>AUC OTHER BLDGS-OFFICE, QRTS, TRAINING CENTRE</t>
  </si>
  <si>
    <t>AUC Other Civil Works</t>
  </si>
  <si>
    <t>AUC Others</t>
  </si>
  <si>
    <t>AUC SOFTWARE DEVELOPMENT</t>
  </si>
  <si>
    <t>Fixed Deposit with bank</t>
  </si>
  <si>
    <t>FDR LDCD Funds with Bank</t>
  </si>
  <si>
    <t>Steel</t>
  </si>
  <si>
    <t>Metering equipment &amp; substation equipment</t>
  </si>
  <si>
    <t>Cables &amp; Conductors</t>
  </si>
  <si>
    <t>Spares</t>
  </si>
  <si>
    <t>STU Sundry Debtors for STOA / SLDC Charges</t>
  </si>
  <si>
    <t>Sundry Debtors - Others</t>
  </si>
  <si>
    <t>TDS Certificate Receivable</t>
  </si>
  <si>
    <t>Postage Stamp on Hand</t>
  </si>
  <si>
    <t>Cash SLDC Kalwa</t>
  </si>
  <si>
    <t>Cash Area Load.Despatch Dn.Ambazari</t>
  </si>
  <si>
    <t>Coll  BOM  8000 Airoli Br.Navi Mumbai SLDC Ka</t>
  </si>
  <si>
    <t>Coll  SBI 8100Ordinance Factory Ambazari Nagp</t>
  </si>
  <si>
    <t>Coll BOM 8000 Airoli Navi Mumbai SLDC</t>
  </si>
  <si>
    <t>Coll BOI 8000 MSLDC Airoli Navi Mumbai</t>
  </si>
  <si>
    <t>Disb BOM 8000 AiroliBr.N-Mum SLDC Kalwa</t>
  </si>
  <si>
    <t>Disb SBI 8100Ordinance FactoryAmabazari( ALDC</t>
  </si>
  <si>
    <t>BOI LDCD Fund operating account</t>
  </si>
  <si>
    <t>MSPC UI Settlement Op. A/c (FBSM)</t>
  </si>
  <si>
    <t>MSLDC RE-DSM Op. A/C</t>
  </si>
  <si>
    <t>MSLDC DSM Corpus A/C</t>
  </si>
  <si>
    <t>MSPC Reimbursement Op. A/c</t>
  </si>
  <si>
    <t>MSLDC Non-op Scheduling &amp; Rescheduling A/C</t>
  </si>
  <si>
    <t>MSLDC Reactive Pool  A/C</t>
  </si>
  <si>
    <t>MSLDC REMC BOI a/c</t>
  </si>
  <si>
    <t>Advances to  Contractors /Suppliers - O&amp;M</t>
  </si>
  <si>
    <t>Permanent Imprests with staff</t>
  </si>
  <si>
    <t>Temporary Imprests with Staff</t>
  </si>
  <si>
    <t>Revenue Stamp Recovery</t>
  </si>
  <si>
    <t>Loans &amp; Advances to Staff - House Building Ad</t>
  </si>
  <si>
    <t>Loans &amp; Advances to Staff  -- Scooter  Advanc</t>
  </si>
  <si>
    <t>Loans &amp; Advances to Staff  -- Motor Car Advan</t>
  </si>
  <si>
    <t>Loans &amp; Advances to Staff  -- Computer  Advan</t>
  </si>
  <si>
    <t>Loans &amp; Adva to Staff- Int.FreeTravellingAllo</t>
  </si>
  <si>
    <t>Loans &amp; Advato Staff-Interest Free SalaryAdv</t>
  </si>
  <si>
    <t>Loans &amp; Adv to Staff- Int. Free FestivalAdv</t>
  </si>
  <si>
    <t>Loans &amp; Advances to Staff  -- Interest Free L</t>
  </si>
  <si>
    <t>Advance Income Tax</t>
  </si>
  <si>
    <t>TCS Payable u/S 206C (1H)</t>
  </si>
  <si>
    <t>Income Tax Deducted at source -  Other Receip</t>
  </si>
  <si>
    <t>Income Tax (Net of Provisions) Previous Year</t>
  </si>
  <si>
    <t>Income Accrued and Due on Fund Investments</t>
  </si>
  <si>
    <t>Income Accrued and Due on Staff Loans &amp; Advan</t>
  </si>
  <si>
    <t>Income Accrued but not  Due on Staff Loans &amp;</t>
  </si>
  <si>
    <t>Amount Recoverable from Employee</t>
  </si>
  <si>
    <t>Exp.recovfromContractors</t>
  </si>
  <si>
    <t>Prepaid Expenses</t>
  </si>
  <si>
    <t>Deposit With Telephone Authorities</t>
  </si>
  <si>
    <t>Other Deposits</t>
  </si>
  <si>
    <t>ZeroBalancingAccount</t>
  </si>
  <si>
    <t>Rev.Twds. Short term open Access Chg MOU</t>
  </si>
  <si>
    <t>REC Application Fees (Only for SLDC)</t>
  </si>
  <si>
    <t>DSM Registration Fees (Only for SLDC)</t>
  </si>
  <si>
    <t>Monthly SLDC Operating Charges</t>
  </si>
  <si>
    <t>Rescheduling Charges</t>
  </si>
  <si>
    <t>Interest from Staff loans and advances</t>
  </si>
  <si>
    <t>Interest from investment in bank deposits</t>
  </si>
  <si>
    <t>Income from rentals - other buildings</t>
  </si>
  <si>
    <t>Rental from staff quarters</t>
  </si>
  <si>
    <t>Sale of scrap (no cost assigned for scrap)</t>
  </si>
  <si>
    <t>Sale of Tender forms</t>
  </si>
  <si>
    <t>Registration fee</t>
  </si>
  <si>
    <t>Other Miscellaneous Receipts (GST taxable)</t>
  </si>
  <si>
    <t>Other Miscellaneous Receipts (Non GST)</t>
  </si>
  <si>
    <t>Liquidated Damages Recovered  from Contractor</t>
  </si>
  <si>
    <t>Amortisation of Government Grant Received</t>
  </si>
  <si>
    <t>REMC QCA Registration fee</t>
  </si>
  <si>
    <t>Open access/NOC Application processing fees</t>
  </si>
  <si>
    <t>Discount on Pmt of Labour Cess</t>
  </si>
  <si>
    <t>Repairs &amp; Maintenance (All Transmission)</t>
  </si>
  <si>
    <t>Material Consumption - Project</t>
  </si>
  <si>
    <t>Vehicles Repairs</t>
  </si>
  <si>
    <t>Furniture &amp; fixtures Repairs</t>
  </si>
  <si>
    <t>Repairs - Office Equipments</t>
  </si>
  <si>
    <t>Project  Expenses others</t>
  </si>
  <si>
    <t>Salaries - Basic Pay</t>
  </si>
  <si>
    <t>Overtime to employees</t>
  </si>
  <si>
    <t>Dearness allowance to employees</t>
  </si>
  <si>
    <t>Substance Allowance</t>
  </si>
  <si>
    <t>Bonus/Ex-Gratia</t>
  </si>
  <si>
    <t>Orderly  Allowance</t>
  </si>
  <si>
    <t>System Allowance</t>
  </si>
  <si>
    <t>Book Allowance</t>
  </si>
  <si>
    <t>Entertainment Allowance</t>
  </si>
  <si>
    <t>Heavy Duty Allowance</t>
  </si>
  <si>
    <t>Special Duty Allowance</t>
  </si>
  <si>
    <t>LD Allowance</t>
  </si>
  <si>
    <t>Night Shift Allowance</t>
  </si>
  <si>
    <t>Transport Asst.Allowance</t>
  </si>
  <si>
    <t>Washing Allowance</t>
  </si>
  <si>
    <t>Risk Allowance</t>
  </si>
  <si>
    <t>Special Comp. Allowance</t>
  </si>
  <si>
    <t>House Rent Allowance (HRA)</t>
  </si>
  <si>
    <t>Compensatory Loacl Allowance (CLA)</t>
  </si>
  <si>
    <t>Fringe Benefit Allowance - Field</t>
  </si>
  <si>
    <t>Fringe Benefit Allowance - Admin</t>
  </si>
  <si>
    <t>Technical Allowance</t>
  </si>
  <si>
    <t>Electricity Charges Allowance</t>
  </si>
  <si>
    <t>Special Pay as per S.R. 9(26)</t>
  </si>
  <si>
    <t>Education allowance</t>
  </si>
  <si>
    <t>Car Conveyance Allowance</t>
  </si>
  <si>
    <t>Professional Pursuit Allowance</t>
  </si>
  <si>
    <t>Leave Travel Assistance</t>
  </si>
  <si>
    <t>Honorarium</t>
  </si>
  <si>
    <t>Perquisites Tax on Rent free accomodation to</t>
  </si>
  <si>
    <t>Payment under Workmen's Comp.Act.</t>
  </si>
  <si>
    <t>Board's Contribution under Welfare Act.</t>
  </si>
  <si>
    <t>Uniform &amp; Livery Expenses</t>
  </si>
  <si>
    <t>Other Welfare Expenses</t>
  </si>
  <si>
    <t>Training Expenses including TA/DA</t>
  </si>
  <si>
    <t>Employee Share to EPS</t>
  </si>
  <si>
    <t>MSETCL's Contribution towards MSEB EDW Trust</t>
  </si>
  <si>
    <t>MSETCL's Contribution to Employees Provident</t>
  </si>
  <si>
    <t>SupAnnuation Board's Cont.</t>
  </si>
  <si>
    <t>Gratuity</t>
  </si>
  <si>
    <t>Travelling and conveyance expenses</t>
  </si>
  <si>
    <t>Assets decommissioning Costs</t>
  </si>
  <si>
    <t>Rates &amp; Taxes</t>
  </si>
  <si>
    <t>Insurance of fixed assets/stocks/AUC</t>
  </si>
  <si>
    <t>Postage, telephone, telegram expenses</t>
  </si>
  <si>
    <t>IT &amp; Communication related Exp</t>
  </si>
  <si>
    <t>Outsource Personnel Salary</t>
  </si>
  <si>
    <t>Legal charges</t>
  </si>
  <si>
    <t>Other Prof.Chags incl.Internal/Cost/Tax Audit</t>
  </si>
  <si>
    <t>Statutory Audit Fees (HO Only)</t>
  </si>
  <si>
    <t>Consultancy charges</t>
  </si>
  <si>
    <t>Octroi</t>
  </si>
  <si>
    <t>Fees &amp; Subscription</t>
  </si>
  <si>
    <t>Advertisement expenses</t>
  </si>
  <si>
    <t>Water Charges</t>
  </si>
  <si>
    <t>Entertainment</t>
  </si>
  <si>
    <t>Expenditure on meetings, conferences etc.</t>
  </si>
  <si>
    <t>Upkeep of office</t>
  </si>
  <si>
    <t>Security Measures - contract basis</t>
  </si>
  <si>
    <t>Miscellaneous expenses</t>
  </si>
  <si>
    <t>Interest on Late Payment of Statutory Dues</t>
  </si>
  <si>
    <t>Refund of LD/SD/EMD (Written back)</t>
  </si>
  <si>
    <t>Vehicle running exps of Co.owned - Jeep Cars</t>
  </si>
  <si>
    <t>Expenditure on Hired vehicles for MSETCL's Us</t>
  </si>
  <si>
    <t>Advertof tenders / notices &amp;otherpurc related</t>
  </si>
  <si>
    <t>A&amp;G expenses in respect of REMC Assets.</t>
  </si>
  <si>
    <t>Sub-Station - Depreciation</t>
  </si>
  <si>
    <t>Buildings - Depreciation</t>
  </si>
  <si>
    <t>Hydraulic works - Depreciation</t>
  </si>
  <si>
    <t>Civil Works - Depreciation</t>
  </si>
  <si>
    <t>Lines - Depreciation</t>
  </si>
  <si>
    <t>Vehicles - Depreciation</t>
  </si>
  <si>
    <t>Furniture &amp; fixtures - Depreciation</t>
  </si>
  <si>
    <t>Computer/printer/UPS/peripherials - Depreciat</t>
  </si>
  <si>
    <t>Small &amp; Low items - Depreciation</t>
  </si>
  <si>
    <t>Sub-Station - Vehicle Depreciation</t>
  </si>
  <si>
    <t>Sub-Station - Equipments  Depreciation</t>
  </si>
  <si>
    <t>Intangible assets - Depreciation</t>
  </si>
  <si>
    <t>Rebate on Prompt Payment for Transmission Con</t>
  </si>
  <si>
    <t>Prov for Deferred Tax</t>
  </si>
  <si>
    <t>Depreciation under provided for previous year</t>
  </si>
  <si>
    <t>Pevious Year Dep - Computer peripherals</t>
  </si>
  <si>
    <t>Prev. Year Dep - Leasehold land</t>
  </si>
  <si>
    <t>Difference due to rounding off to nearest rup</t>
  </si>
  <si>
    <t>Initial Upload a/c - Cash</t>
  </si>
  <si>
    <t>CPF Section Account</t>
  </si>
  <si>
    <t>TRIAL BALANCE AS ON 31.03.2024</t>
  </si>
  <si>
    <t>FY 2023    1 -  16</t>
  </si>
  <si>
    <t>TRIAL BALANCE: 1ST HALF OF 2024-25 (AS ON 30.09.2024)</t>
  </si>
  <si>
    <t>FY 2024    1 -   6</t>
  </si>
  <si>
    <t>Short Term Open Access  Charges</t>
  </si>
  <si>
    <t>Meeting Expenses</t>
  </si>
  <si>
    <t>22-23</t>
  </si>
  <si>
    <t>23-24</t>
  </si>
  <si>
    <t>24-25_6month</t>
  </si>
  <si>
    <t>WRLDC charges</t>
  </si>
  <si>
    <t>Account</t>
  </si>
  <si>
    <t>Assignment</t>
  </si>
  <si>
    <t>Document Number</t>
  </si>
  <si>
    <t>Document Date</t>
  </si>
  <si>
    <t>Posting Date</t>
  </si>
  <si>
    <t>Amount in LC</t>
  </si>
  <si>
    <t>Text</t>
  </si>
  <si>
    <t>RLDC FEES FEB 22 T</t>
  </si>
  <si>
    <t>RLDC FEES FEB 22 TO APRIL 22</t>
  </si>
  <si>
    <t>CV NO- 46</t>
  </si>
  <si>
    <t>RLDC FEES &amp; CHARGE</t>
  </si>
  <si>
    <t>RLDC FEES &amp; CHARGES MAY 22 TO JULY 22</t>
  </si>
  <si>
    <t>CV NO-2</t>
  </si>
  <si>
    <t>WRLDC FEES &amp; CHARG</t>
  </si>
  <si>
    <t>WRLDC FEES &amp; CHARGES FY 21-22</t>
  </si>
  <si>
    <t>CV NO-19</t>
  </si>
  <si>
    <t>152009 TO 152016</t>
  </si>
  <si>
    <t>RLDC FEES OF SEP 22 PAID</t>
  </si>
  <si>
    <t>CV NO 48</t>
  </si>
  <si>
    <t>RLDC FEES OF AUG 22 PAID</t>
  </si>
  <si>
    <t>CV NO 49</t>
  </si>
  <si>
    <t>WRLDC FEES &amp; CHARG OCT 22</t>
  </si>
  <si>
    <t>CV NO-40</t>
  </si>
  <si>
    <t>RLDC FEES CHARGES</t>
  </si>
  <si>
    <t>RLDC FEES CHARGES NOV 22</t>
  </si>
  <si>
    <t>CV NO-09</t>
  </si>
  <si>
    <t>STM 1 LINK WRPC &amp;</t>
  </si>
  <si>
    <t>STM 1 LINK WRPC &amp; BHUJ TO WRLDC TO MSEDCL</t>
  </si>
  <si>
    <t>CV NO-10</t>
  </si>
  <si>
    <t>REIMB TO STM 1 &amp; B</t>
  </si>
  <si>
    <t>REIMB TO STM 1 &amp; BHUJ WRLDC TO MSEDCL</t>
  </si>
  <si>
    <t>CV NO-26</t>
  </si>
  <si>
    <t>REIMBUS TO MSEDCL</t>
  </si>
  <si>
    <t>REIMBUS TO MSEDCL DEC 22 WRLDC FEES &amp; CHARGES</t>
  </si>
  <si>
    <t>CV NO-58</t>
  </si>
  <si>
    <t>MSEDCL REIMB TO WR</t>
  </si>
  <si>
    <t>MSEDCL REIMB TO WRLDC FEES JAN 2023 TO MSEDCL</t>
  </si>
  <si>
    <t>CV NO-147</t>
  </si>
  <si>
    <t>JV NO 11</t>
  </si>
  <si>
    <t>WRLDC FEES PROVISION FEB 2023</t>
  </si>
  <si>
    <t>WRLDC FEES PROVISION MARCH 23</t>
  </si>
  <si>
    <t>Offsetting acct no.</t>
  </si>
  <si>
    <t>JV NO 6</t>
  </si>
  <si>
    <t>RLDC FEES MSEDCL F</t>
  </si>
  <si>
    <t>RLDC FEES MSEDCL FEB 2023</t>
  </si>
  <si>
    <t>CV NO-12</t>
  </si>
  <si>
    <t>WRLDC FEES MARCH 2</t>
  </si>
  <si>
    <t>WRLDC FEES MARCH 2023 MSEDCL</t>
  </si>
  <si>
    <t>CV NO-108</t>
  </si>
  <si>
    <t>REIMBUR TO MSEDCL</t>
  </si>
  <si>
    <t>REIMBUR TO MSEDCLPLI FOR FY 20-21</t>
  </si>
  <si>
    <t>CV NO-96</t>
  </si>
  <si>
    <t>MSEDCL WRLDC PLI</t>
  </si>
  <si>
    <t>MSEDCL WRLDC FEES &amp;CHARGES PLI  21-22</t>
  </si>
  <si>
    <t>CV NO-23</t>
  </si>
  <si>
    <t>WRLDC FESS CHAR AP</t>
  </si>
  <si>
    <t>WRLDC FESS CHAR APRIL 2023</t>
  </si>
  <si>
    <t>CV NO-20</t>
  </si>
  <si>
    <t>WRLDC MAY 2023</t>
  </si>
  <si>
    <t>RLDC FEES CHARGES MSEDCL MAY 2023</t>
  </si>
  <si>
    <t>CV NO-17</t>
  </si>
  <si>
    <t>WRLDC FEES CHAR JU</t>
  </si>
  <si>
    <t>WRLDC FEES CHAR JUNE 2023</t>
  </si>
  <si>
    <t>WRLDC FEES MSEDCL</t>
  </si>
  <si>
    <t>WRLDC FEES MSEDCL JULY 23</t>
  </si>
  <si>
    <t>CV NO-43</t>
  </si>
  <si>
    <t>WLRDC FEES CHA AUG</t>
  </si>
  <si>
    <t>WLRDC FEES CHA AUG 2023</t>
  </si>
  <si>
    <t>FEES CHARGES FERV</t>
  </si>
  <si>
    <t>FEES CHARGES FERV 22-23</t>
  </si>
  <si>
    <t>MSEDCL SEPT 2023</t>
  </si>
  <si>
    <t>REIMB TO MSEDCL FEES SEPT 2023</t>
  </si>
  <si>
    <t>CV NO-77</t>
  </si>
  <si>
    <t>MSEDCL RLDC FEES O</t>
  </si>
  <si>
    <t>MSEDCL RLDC FEES OCT 2023</t>
  </si>
  <si>
    <t>CV NO-04</t>
  </si>
  <si>
    <t>WRLDC BAL AMT  PAI</t>
  </si>
  <si>
    <t>WRLDC BAL AMT  PAID OCT 23</t>
  </si>
  <si>
    <t>CV NO-11</t>
  </si>
  <si>
    <t>WRLDC FEES NOV 23</t>
  </si>
  <si>
    <t>REIMB TO WRLDC FEES CHAR FOR THE M/O NOV 2024</t>
  </si>
  <si>
    <t>CV NO-03</t>
  </si>
  <si>
    <t>WRLDC FEES DEC 202</t>
  </si>
  <si>
    <t>WRLDC FEES DEC 2023</t>
  </si>
  <si>
    <t>PLI WRLDC FY 22-23</t>
  </si>
  <si>
    <t>WRLDC FES&amp;CHAR PLI FY 22-23 ADUJ 21-22</t>
  </si>
  <si>
    <t>CV NO-13</t>
  </si>
  <si>
    <t>PROVISION OF MAR 2024 WRLDE FEES</t>
  </si>
  <si>
    <t>JV No 28</t>
  </si>
  <si>
    <t>wrongly debited to 440100 instead of GL 440010</t>
  </si>
  <si>
    <t>JV NO 28</t>
  </si>
  <si>
    <t>JV NO 7</t>
  </si>
  <si>
    <t>RESERVIAL PROVISION 24  JV NO 11/31.03.2024)</t>
  </si>
  <si>
    <t>WLRDC PLI CHARGESF</t>
  </si>
  <si>
    <t>WLRDC PLI CHARGESFY 22-23</t>
  </si>
  <si>
    <t>CV NO-49</t>
  </si>
  <si>
    <t>WRLDC FEES CHAR  J</t>
  </si>
  <si>
    <t>WRLDC FEES CHAR  JAN 2024</t>
  </si>
  <si>
    <t>WRLDC FEES FEB 202</t>
  </si>
  <si>
    <t>WRLDC FEES FEB 2024</t>
  </si>
  <si>
    <t>CV NO-44</t>
  </si>
  <si>
    <t>WRLDC FEES MARCH 2024</t>
  </si>
  <si>
    <t>CV NO-15</t>
  </si>
  <si>
    <t>WRLC FEES RLDC APR</t>
  </si>
  <si>
    <t>WRLC FEES RLDC APRIL 24</t>
  </si>
  <si>
    <t>CV NO-34</t>
  </si>
  <si>
    <t>WRLDC FESS MAY 202</t>
  </si>
  <si>
    <t>WRLDC FESS MAY 2024</t>
  </si>
  <si>
    <t>CV NO-119</t>
  </si>
  <si>
    <t>WRLDC FES JUNE 24</t>
  </si>
  <si>
    <t>CV NO-28</t>
  </si>
  <si>
    <t>REC application fee</t>
  </si>
  <si>
    <t>DSM application fee</t>
  </si>
  <si>
    <t>Income from rental - other building</t>
  </si>
  <si>
    <t xml:space="preserve">Misc </t>
  </si>
  <si>
    <t>yes</t>
  </si>
  <si>
    <t>FERV FY 21-22 and publication of tender notice 2019-24</t>
  </si>
  <si>
    <t>ULDC charges</t>
  </si>
  <si>
    <t>RLDC charges 6145250 and adjustment 7658415</t>
  </si>
  <si>
    <t>Posoco bill?</t>
  </si>
  <si>
    <t>CV NO-42</t>
  </si>
  <si>
    <t>Prov for PLI</t>
  </si>
  <si>
    <t>Prov for Feb 24</t>
  </si>
  <si>
    <t>Prov for Jan 24</t>
  </si>
  <si>
    <t>Prov for March 24</t>
  </si>
  <si>
    <t>(Rs. Lakh)</t>
  </si>
  <si>
    <t>REVERSAL OF PRO MAR 23 RLDC FEES FEB &amp; MAR 23</t>
  </si>
  <si>
    <t>SLDC - SITC of 80 RTU</t>
  </si>
  <si>
    <t>MERC/Capex/MSETCL/2015-16/01611</t>
  </si>
  <si>
    <t>S/I/T/C of auto FSS and MS at ALDC Ambazari</t>
  </si>
  <si>
    <t>MERC/Capex/SLDC/2020-21/E-Letter</t>
  </si>
  <si>
    <t>RTU-DC SLDC Kalwa and Ambazari (two schemes jointly)</t>
  </si>
  <si>
    <t>S/I/T/C of electric wiring and A/c Equipment</t>
  </si>
  <si>
    <t>S/I/T/C 2 No of elevator at MSLDC Airoli</t>
  </si>
  <si>
    <t>S/I/T/C of 3 DCs</t>
  </si>
  <si>
    <t>Total FY 22-23</t>
  </si>
  <si>
    <t>WPI</t>
  </si>
  <si>
    <t>WPI inflation</t>
  </si>
  <si>
    <t>CPI</t>
  </si>
  <si>
    <t>CPI inflation</t>
  </si>
  <si>
    <t>https://eaindustry.nic.in/download_data_1112.asp</t>
  </si>
  <si>
    <t>Index files for WPI series (BASE: 2011-12)</t>
  </si>
  <si>
    <t>Average from FY 2018-19 to FY 2022-23</t>
  </si>
  <si>
    <t>Weightage</t>
  </si>
  <si>
    <t>Escalation Factor</t>
  </si>
  <si>
    <t>Escalation Factor for FY 2022-23</t>
  </si>
  <si>
    <t>https://labourbureau.gov.in/centre-index</t>
  </si>
  <si>
    <t>Centre index</t>
  </si>
  <si>
    <t>Average from FY 2019-20 to FY 2023-24</t>
  </si>
  <si>
    <t>Escalation Factor for FY 2023-24</t>
  </si>
  <si>
    <t>Normative</t>
  </si>
  <si>
    <t>Normative O&amp;M calculation</t>
  </si>
  <si>
    <t>FY 22-23</t>
  </si>
  <si>
    <t>FY 23-24</t>
  </si>
  <si>
    <t>Net Entitlement of MSLDC for previous year</t>
  </si>
  <si>
    <t>Escalation Factor after deducting efficiency factor 1%</t>
  </si>
  <si>
    <t>Normative O&amp;M Expenses</t>
  </si>
  <si>
    <t>Actual expenses</t>
  </si>
  <si>
    <t>Sharing Gain and (Losses)</t>
  </si>
  <si>
    <t>2/3rd Efficiency Gain or 1/3rd Efficiency Loss shar</t>
  </si>
  <si>
    <t>Net Entitlement after sharing</t>
  </si>
  <si>
    <t>Sharing of Gains/(Losses) (1/3 of loss)</t>
  </si>
  <si>
    <t>before wage revision arrear (Table 16 MTR)</t>
  </si>
  <si>
    <t>Escalation rate</t>
  </si>
  <si>
    <t>FY 24-25</t>
  </si>
  <si>
    <t>Control period</t>
  </si>
  <si>
    <t>for FY 21-22</t>
  </si>
  <si>
    <t>actual CV of 192 lakh, additional 109 lakh adjusted against prov (GL 15000…)</t>
  </si>
  <si>
    <t>Addi wage 6 months</t>
  </si>
  <si>
    <t>Wage revision arrear</t>
  </si>
  <si>
    <t>Monthly Employee Expenses before wage revision for M-O July-2024</t>
  </si>
  <si>
    <t>Monthly Employee Expenses after wage revision for M-O August-2024</t>
  </si>
  <si>
    <t>per month impact</t>
  </si>
  <si>
    <t>Name of Office</t>
  </si>
  <si>
    <t>Ist Installment given in Oct-2024</t>
  </si>
  <si>
    <t>II Installment tobe paid March-2025</t>
  </si>
  <si>
    <t>IIIrd Installment to be paid in Sept-2025</t>
  </si>
  <si>
    <t>SLDC+ALDC</t>
  </si>
  <si>
    <t>Actual is as approved in MTR order, as per para 3.9.10 of MTR</t>
  </si>
  <si>
    <t>as approved din MTR order Table 66</t>
  </si>
  <si>
    <t>Land and Land right</t>
  </si>
  <si>
    <t>Building and Civil Works</t>
  </si>
  <si>
    <t>Other Civil Works</t>
  </si>
  <si>
    <t>Lines Cable Network etc</t>
  </si>
  <si>
    <t>Furniture &amp; fixtures</t>
  </si>
  <si>
    <t>Office equipments</t>
  </si>
  <si>
    <t>Computer Software / IT Equipments</t>
  </si>
  <si>
    <t>Table 94 of MTR order</t>
  </si>
  <si>
    <t>actual</t>
  </si>
  <si>
    <t>projected</t>
  </si>
  <si>
    <t>LDCD fund-capitalisation</t>
  </si>
  <si>
    <t>https://sbi.co.in/web/interest-rates/interest-rates/mclr-historical-data</t>
  </si>
  <si>
    <t>1.4.22</t>
  </si>
  <si>
    <t>Start</t>
  </si>
  <si>
    <t>end</t>
  </si>
  <si>
    <t>rate</t>
  </si>
  <si>
    <t>days</t>
  </si>
  <si>
    <t>15.4.22</t>
  </si>
  <si>
    <t>15.5.22</t>
  </si>
  <si>
    <t>15.6.22</t>
  </si>
  <si>
    <t>15.7.22</t>
  </si>
  <si>
    <t>15.8.22</t>
  </si>
  <si>
    <t>15.9.22</t>
  </si>
  <si>
    <t>15.10.22</t>
  </si>
  <si>
    <t>15.11.22</t>
  </si>
  <si>
    <t>15.12.22</t>
  </si>
  <si>
    <t>15.1.23</t>
  </si>
  <si>
    <t>15.2.23</t>
  </si>
  <si>
    <t>15.3.23</t>
  </si>
  <si>
    <t>1.4.23</t>
  </si>
  <si>
    <t>15.4.23</t>
  </si>
  <si>
    <t>15.5.23</t>
  </si>
  <si>
    <t>15.6.23</t>
  </si>
  <si>
    <t>15.7.23</t>
  </si>
  <si>
    <t>15.8.23</t>
  </si>
  <si>
    <t>15.9.23</t>
  </si>
  <si>
    <t>15.10.23</t>
  </si>
  <si>
    <t>15.11.23</t>
  </si>
  <si>
    <t>15.12.23</t>
  </si>
  <si>
    <t>15.1.24</t>
  </si>
  <si>
    <t>15.2.24</t>
  </si>
  <si>
    <t>15.3.24</t>
  </si>
  <si>
    <t>14.4.22</t>
  </si>
  <si>
    <t>14.5.22</t>
  </si>
  <si>
    <t>14.6.22</t>
  </si>
  <si>
    <t>14.7.22</t>
  </si>
  <si>
    <t>14.5.23</t>
  </si>
  <si>
    <t>14.6.23</t>
  </si>
  <si>
    <t>14.7.23</t>
  </si>
  <si>
    <t>14.8.23</t>
  </si>
  <si>
    <t>14.9.23</t>
  </si>
  <si>
    <t>14.10.23</t>
  </si>
  <si>
    <t>14.1.23</t>
  </si>
  <si>
    <t>14.8.22</t>
  </si>
  <si>
    <t>14.9.22</t>
  </si>
  <si>
    <t>14.10.22</t>
  </si>
  <si>
    <t>14.11.22</t>
  </si>
  <si>
    <t>14.12.22</t>
  </si>
  <si>
    <t>14.2.23</t>
  </si>
  <si>
    <t>14.3.23</t>
  </si>
  <si>
    <t>31.3.23</t>
  </si>
  <si>
    <t>14.4.23</t>
  </si>
  <si>
    <t>14.11.23</t>
  </si>
  <si>
    <t>14.12.23</t>
  </si>
  <si>
    <t>14.1.24</t>
  </si>
  <si>
    <t>14.2.24</t>
  </si>
  <si>
    <t>14.3.24</t>
  </si>
  <si>
    <t>31.3.24</t>
  </si>
  <si>
    <t>One-third to be shared with consumer, 2/3rd to be absorbed</t>
  </si>
  <si>
    <t>Less: Income from Reactive Energy Charges/ Rescheduling charges</t>
  </si>
  <si>
    <t>FY 2022-23 (Actual)</t>
  </si>
  <si>
    <t>FY 2023-24 (Actual)</t>
  </si>
  <si>
    <t>Openning: Table 51 of MTR order_FY 21-22 fund at the end of the year</t>
  </si>
  <si>
    <t>SR NO</t>
  </si>
  <si>
    <t>UNIT</t>
  </si>
  <si>
    <t>RECEIPT NO</t>
  </si>
  <si>
    <t>BANK NAME</t>
  </si>
  <si>
    <t>FD A/C NO</t>
  </si>
  <si>
    <t>FD AMOUNT</t>
  </si>
  <si>
    <t>ISSUE DATE</t>
  </si>
  <si>
    <t>INTEREST AS ON DATE</t>
  </si>
  <si>
    <t>ROI</t>
  </si>
  <si>
    <t>SLDC</t>
  </si>
  <si>
    <t>0789198</t>
  </si>
  <si>
    <t>BANK OF MAHARASHTRA</t>
  </si>
  <si>
    <t>60412527997</t>
  </si>
  <si>
    <t>0789199</t>
  </si>
  <si>
    <t>60412528287</t>
  </si>
  <si>
    <t>0789200</t>
  </si>
  <si>
    <t>60412528389</t>
  </si>
  <si>
    <t>0789201</t>
  </si>
  <si>
    <t>60412538921</t>
  </si>
  <si>
    <t>604357201210</t>
  </si>
  <si>
    <t>BANK OF INIDA</t>
  </si>
  <si>
    <t>014056110001572</t>
  </si>
  <si>
    <t>03-05-2021</t>
  </si>
  <si>
    <t>014056110001444</t>
  </si>
  <si>
    <t>29-05-2021</t>
  </si>
  <si>
    <t>014056110001580</t>
  </si>
  <si>
    <t>01-06-2021</t>
  </si>
  <si>
    <t>014056110001433</t>
  </si>
  <si>
    <t>14.06.2021</t>
  </si>
  <si>
    <t>388962</t>
  </si>
  <si>
    <t>014056110001594</t>
  </si>
  <si>
    <t>11.06.2021</t>
  </si>
  <si>
    <t>388960</t>
  </si>
  <si>
    <t>014056110001592</t>
  </si>
  <si>
    <t>10.06.2021</t>
  </si>
  <si>
    <t>388966</t>
  </si>
  <si>
    <t>014056110001429</t>
  </si>
  <si>
    <t>09.06.2021</t>
  </si>
  <si>
    <t>388959</t>
  </si>
  <si>
    <t>014056110001591</t>
  </si>
  <si>
    <t>388965</t>
  </si>
  <si>
    <t>014056110001586</t>
  </si>
  <si>
    <t>06.06.2021</t>
  </si>
  <si>
    <t>388964</t>
  </si>
  <si>
    <t>014056110001856</t>
  </si>
  <si>
    <t>17.06.2021</t>
  </si>
  <si>
    <t>389186</t>
  </si>
  <si>
    <t>014056110001604</t>
  </si>
  <si>
    <t>19.06.2021</t>
  </si>
  <si>
    <t>389185</t>
  </si>
  <si>
    <t>014056110001601</t>
  </si>
  <si>
    <t>16.06.2021</t>
  </si>
  <si>
    <t>389187</t>
  </si>
  <si>
    <t>014056110001437</t>
  </si>
  <si>
    <t>389074</t>
  </si>
  <si>
    <t>014056110001860</t>
  </si>
  <si>
    <t>01.07.2021</t>
  </si>
  <si>
    <t>389073</t>
  </si>
  <si>
    <t>014056110001859</t>
  </si>
  <si>
    <t>389036</t>
  </si>
  <si>
    <t>014056110001439</t>
  </si>
  <si>
    <t>28.06.2021</t>
  </si>
  <si>
    <t>389035</t>
  </si>
  <si>
    <t>014056110001443</t>
  </si>
  <si>
    <t>29.06.2021</t>
  </si>
  <si>
    <t>389302</t>
  </si>
  <si>
    <t>014056110001463</t>
  </si>
  <si>
    <t>23.07.2021</t>
  </si>
  <si>
    <t>LDCD FUND</t>
  </si>
  <si>
    <t>388997</t>
  </si>
  <si>
    <t>014056110001858</t>
  </si>
  <si>
    <t>156351</t>
  </si>
  <si>
    <t>014056110001879</t>
  </si>
  <si>
    <t>02.09.2021</t>
  </si>
  <si>
    <t>0156289</t>
  </si>
  <si>
    <t>014056110001487</t>
  </si>
  <si>
    <t>09.09.2021</t>
  </si>
  <si>
    <t>0156282</t>
  </si>
  <si>
    <t>014056110001479</t>
  </si>
  <si>
    <t>22.09.2021</t>
  </si>
  <si>
    <t>0156283</t>
  </si>
  <si>
    <t>014056110001472</t>
  </si>
  <si>
    <t>16.09.2021</t>
  </si>
  <si>
    <t>0388798</t>
  </si>
  <si>
    <t>014056110001504</t>
  </si>
  <si>
    <t>12.12.2021</t>
  </si>
  <si>
    <t>0388826</t>
  </si>
  <si>
    <t>014056110001506</t>
  </si>
  <si>
    <t>14.12.2021</t>
  </si>
  <si>
    <t>0156431</t>
  </si>
  <si>
    <t>014056110001462</t>
  </si>
  <si>
    <t>23.08.2021</t>
  </si>
  <si>
    <t>0156433</t>
  </si>
  <si>
    <t>014056110001478</t>
  </si>
  <si>
    <t>22.08.2021</t>
  </si>
  <si>
    <t>0156552</t>
  </si>
  <si>
    <t>014056110001458</t>
  </si>
  <si>
    <t>03.08.2021</t>
  </si>
  <si>
    <t>0156925</t>
  </si>
  <si>
    <t>014056110001486</t>
  </si>
  <si>
    <t>09.11.2021</t>
  </si>
  <si>
    <t>0156855</t>
  </si>
  <si>
    <t>014056110001512</t>
  </si>
  <si>
    <t>12.01.2022</t>
  </si>
  <si>
    <t>014056110001852</t>
  </si>
  <si>
    <t>04.06.2021</t>
  </si>
  <si>
    <t>0389905</t>
  </si>
  <si>
    <t>014056110001778</t>
  </si>
  <si>
    <t>014056110001793</t>
  </si>
  <si>
    <t>04-07-2022</t>
  </si>
  <si>
    <t>014056110001920</t>
  </si>
  <si>
    <t>014056110001921</t>
  </si>
  <si>
    <t>014056110001809</t>
  </si>
  <si>
    <t>014056110001794</t>
  </si>
  <si>
    <t>014056110001583</t>
  </si>
  <si>
    <t>014056110001808</t>
  </si>
  <si>
    <t>014056110001820</t>
  </si>
  <si>
    <t>014056110001828</t>
  </si>
  <si>
    <t>014056110002061</t>
  </si>
  <si>
    <t>014056110001819</t>
  </si>
  <si>
    <t>014056110001431</t>
  </si>
  <si>
    <t>014056110001598</t>
  </si>
  <si>
    <t>014056110001442</t>
  </si>
  <si>
    <t>014056110001829</t>
  </si>
  <si>
    <t>MSLDC</t>
  </si>
  <si>
    <t>014056110001432</t>
  </si>
  <si>
    <t>014056110001599</t>
  </si>
  <si>
    <t>014056110001584</t>
  </si>
  <si>
    <t>014056110001563</t>
  </si>
  <si>
    <t>014056110001436</t>
  </si>
  <si>
    <t>014056110001564</t>
  </si>
  <si>
    <t>014056110001477</t>
  </si>
  <si>
    <t>014056110001579</t>
  </si>
  <si>
    <t>014056110001565</t>
  </si>
  <si>
    <t>014056110001590</t>
  </si>
  <si>
    <t>014056110001585</t>
  </si>
  <si>
    <t>014056110001600</t>
  </si>
  <si>
    <t>014056110001435</t>
  </si>
  <si>
    <t>014056110001441</t>
  </si>
  <si>
    <t>014056110001578</t>
  </si>
  <si>
    <t>BOM</t>
  </si>
  <si>
    <t>60443383297</t>
  </si>
  <si>
    <t>60443382330</t>
  </si>
  <si>
    <t>60443382624</t>
  </si>
  <si>
    <t>60443739846</t>
  </si>
  <si>
    <t>60443739096</t>
  </si>
  <si>
    <t>60443739325</t>
  </si>
  <si>
    <t>079015</t>
  </si>
  <si>
    <t>079016</t>
  </si>
  <si>
    <t>0079117</t>
  </si>
  <si>
    <t>0079118</t>
  </si>
  <si>
    <t>0447091</t>
  </si>
  <si>
    <t>60463335716</t>
  </si>
  <si>
    <t>0079426</t>
  </si>
  <si>
    <t>0079427</t>
  </si>
  <si>
    <t>0079428</t>
  </si>
  <si>
    <t>0079429</t>
  </si>
  <si>
    <t>0447109</t>
  </si>
  <si>
    <t>0447206</t>
  </si>
  <si>
    <t>0447212</t>
  </si>
  <si>
    <t>0447214</t>
  </si>
  <si>
    <t>0447272</t>
  </si>
  <si>
    <t>0447275</t>
  </si>
  <si>
    <t>0447321</t>
  </si>
  <si>
    <t>BOI</t>
  </si>
  <si>
    <t>014045110006500</t>
  </si>
  <si>
    <t>014045110006514</t>
  </si>
  <si>
    <t>014056110002649</t>
  </si>
  <si>
    <t>014056110002650</t>
  </si>
  <si>
    <t>014056110002651</t>
  </si>
  <si>
    <t>014045110006557</t>
  </si>
  <si>
    <t>014056110002763</t>
  </si>
  <si>
    <t>014056110002764</t>
  </si>
  <si>
    <t>037483</t>
  </si>
  <si>
    <t>037427</t>
  </si>
  <si>
    <t>014056110002864</t>
  </si>
  <si>
    <t>Income from Investments/LDCD fund</t>
  </si>
  <si>
    <t>Normative for FY 24-25_to be used in O&amp;M and WC</t>
  </si>
  <si>
    <t>Rebate</t>
  </si>
  <si>
    <t>(in order 2716.12)</t>
  </si>
  <si>
    <t>(in order 763.44)</t>
  </si>
  <si>
    <t>in order it was 2716.12</t>
  </si>
  <si>
    <t>we considered Re scheduling charges and not reactive charges</t>
  </si>
  <si>
    <t>Revnue</t>
  </si>
  <si>
    <t>Provisional gap/(surplus)</t>
  </si>
  <si>
    <t>Apr-Aug    (Actual)</t>
  </si>
  <si>
    <t>MSEDCL</t>
  </si>
  <si>
    <t>TATA POWER</t>
  </si>
  <si>
    <t>AEML</t>
  </si>
  <si>
    <t>BEST</t>
  </si>
  <si>
    <t>RAILWAY</t>
  </si>
  <si>
    <t>MBPPPL SEZ</t>
  </si>
  <si>
    <t>GEPL SEZ</t>
  </si>
  <si>
    <t>NIDAR SEZ</t>
  </si>
  <si>
    <t>KRC</t>
  </si>
  <si>
    <t>EON KHARADI (Ph-1)</t>
  </si>
  <si>
    <t>LBSCML</t>
  </si>
  <si>
    <t>EON KHARADI (Ph-2)</t>
  </si>
  <si>
    <t>MADC</t>
  </si>
  <si>
    <t>JNPT</t>
  </si>
  <si>
    <t>AEML SEEPZ Ltd(ASL)</t>
  </si>
  <si>
    <t>HADAPSAR SEZ</t>
  </si>
  <si>
    <t>MANJARI SEZ</t>
  </si>
  <si>
    <t>Open Access</t>
  </si>
  <si>
    <t xml:space="preserve">April-March    </t>
  </si>
  <si>
    <t xml:space="preserve">April-March      </t>
  </si>
  <si>
    <t xml:space="preserve">April-March     </t>
  </si>
  <si>
    <t>TPCL-D</t>
  </si>
  <si>
    <t>AEML-D</t>
  </si>
  <si>
    <t>Indian Railways (Deemed Distribution Licencees)</t>
  </si>
  <si>
    <t>Mindspace Properties  (Deemed Distribution Licencees)</t>
  </si>
  <si>
    <t>Gigaplex Properties  (Deemed Distribution Licencees)</t>
  </si>
  <si>
    <t>KRC Infratructure   (Deemed Distribution Licencees)</t>
  </si>
  <si>
    <t>Nidar Utilities</t>
  </si>
  <si>
    <t xml:space="preserve">E ON Phase-1 </t>
  </si>
  <si>
    <t>E ON Phase-2</t>
  </si>
  <si>
    <t>Laxmipati Balaji</t>
  </si>
  <si>
    <t>AEML SEEPZ Ltd</t>
  </si>
  <si>
    <t>NA</t>
  </si>
  <si>
    <t>FY 21-22</t>
  </si>
  <si>
    <t>AEML - D</t>
  </si>
  <si>
    <t>Gigaplex Properties   (Deemed Distribution Licencees)</t>
  </si>
  <si>
    <t>KRC Infratructure  (Deemed Distribution Licencees)</t>
  </si>
  <si>
    <t>SLDC charges (RS /MW/month)</t>
  </si>
  <si>
    <t>check</t>
  </si>
  <si>
    <t>Annual Fixed Charges (Rs. Lakh)</t>
  </si>
  <si>
    <t>Sharing of MSLDC Charges (RS lakh/year)</t>
  </si>
  <si>
    <t>Capex from non LDCD fund</t>
  </si>
  <si>
    <t>From Non LDCD fund only</t>
  </si>
  <si>
    <t>assuming 5% increase</t>
  </si>
  <si>
    <t xml:space="preserve">non ldcd fund </t>
  </si>
  <si>
    <t xml:space="preserve">Assumption : Capitalization from non LDCD fund booked under Software and IT equipment item </t>
  </si>
  <si>
    <t xml:space="preserve">MTR order approval </t>
  </si>
  <si>
    <t xml:space="preserve">Depreciation allowed on  existing asst as on FY 2024-25 shall be repeated FY 2025-26 onward </t>
  </si>
  <si>
    <t>4 yr CAGR</t>
  </si>
  <si>
    <t>3 yr CAGR</t>
  </si>
  <si>
    <t>assuming 5% increase in TCR of 24-25</t>
  </si>
  <si>
    <t>Per Month /MW</t>
  </si>
  <si>
    <t>SLDC - SITC of 80 RTUs</t>
  </si>
  <si>
    <t>MERC/Capex/MSETCL/2015-2016/01611</t>
  </si>
  <si>
    <t>03.03.2016</t>
  </si>
  <si>
    <t>For SCADA data visibilty of Substations</t>
  </si>
  <si>
    <t>2015-2016</t>
  </si>
  <si>
    <t>1) 21.06.2018          2) 02.07.2019</t>
  </si>
  <si>
    <t>1) 08.02.2023          2) 15.02.2023</t>
  </si>
  <si>
    <t>31.04.2021</t>
  </si>
  <si>
    <t>20.08.2021 (original)
20.12.2022 (extension)</t>
  </si>
  <si>
    <t>11.12.2021 (original)
20.03.2023 (extension)</t>
  </si>
  <si>
    <t>10.06.2022 (original)
29.05.2023 (extension)</t>
  </si>
  <si>
    <t xml:space="preserve">155
</t>
  </si>
  <si>
    <t>70 SAS/ RTUs integration</t>
  </si>
  <si>
    <t>MERC/Capex/MSETCL/2015-2016/01611 CELDK/T-105/151 Dtd..27.02.2019</t>
  </si>
  <si>
    <t>30.03.2019</t>
  </si>
  <si>
    <t>1) 30.03.2019   2) 07.07.2022   3) 15.03.2023   4) 14.08.2023   5) 08.11.2023   6) 08.11.2023   7) 27.03.2024   8) 05.09.2024</t>
  </si>
  <si>
    <t>DSM (Development of S/W for S&amp;D , DS, SEA, DSM &amp; Cloud)</t>
  </si>
  <si>
    <t>Development of comprehensive software for implementation of DSM in the State of Maharashtra</t>
  </si>
  <si>
    <t>RTU-DC SLDC Airoli and Ambazari (two schemes jointly)</t>
  </si>
  <si>
    <t>CASE No. 233 of 2022</t>
  </si>
  <si>
    <t>S/I/T/C of electric wiring and A/c Equipment (Sub LDC Scheme for Nashik and Pune)</t>
  </si>
  <si>
    <t>26.8.2021</t>
  </si>
  <si>
    <t>10.10.2022</t>
  </si>
  <si>
    <t>Vehicle parking shed</t>
  </si>
  <si>
    <t>S/I/T/C of New 240 line digital EPBAX</t>
  </si>
  <si>
    <t>18.5.2022</t>
  </si>
  <si>
    <t>14.6.2022</t>
  </si>
  <si>
    <t>DG set with DDC in new SLDC building</t>
  </si>
  <si>
    <t>S/I/T/C of video wall display unit 2X2</t>
  </si>
  <si>
    <t>For display in Cyber Security operation center</t>
  </si>
  <si>
    <t>06.05.2022</t>
  </si>
  <si>
    <t>S/I/T/C of Backup appliance</t>
  </si>
  <si>
    <t>For  Software appln , Server &amp;  desktop compr pc</t>
  </si>
  <si>
    <t>10.03.2022</t>
  </si>
  <si>
    <t>20.10.2022</t>
  </si>
  <si>
    <t>18.1.2023</t>
  </si>
  <si>
    <t>S/I/T/C of 7 No of desktop computer with MS office licence</t>
  </si>
  <si>
    <t>For use service all desktop computer</t>
  </si>
  <si>
    <t>15.7.2022</t>
  </si>
  <si>
    <t>25.8.2022</t>
  </si>
  <si>
    <t>S/I/T/C of anti-virus software along with server</t>
  </si>
  <si>
    <t xml:space="preserve">For protection across a network.
</t>
  </si>
  <si>
    <t>04.11.2022</t>
  </si>
  <si>
    <t>9.2.2023</t>
  </si>
  <si>
    <t>7 LED screen at control room to show operational data</t>
  </si>
  <si>
    <t>Show operational data to control room Engineer</t>
  </si>
  <si>
    <t>30.06.2022</t>
  </si>
  <si>
    <t>16.05.2023</t>
  </si>
  <si>
    <t>S/I/T/C VC at control room</t>
  </si>
  <si>
    <t>23.6.2022</t>
  </si>
  <si>
    <t>23.8.2022</t>
  </si>
  <si>
    <t>PSSE system study software (2nd keys)</t>
  </si>
  <si>
    <t>Purchase of software license for carrying out sumilation studies at MSLDC for Outage approvals, LTS/Islanding Studies, etc.</t>
  </si>
  <si>
    <t>State specific customization in REMC software and allied 
additional requirement of hardware through change order</t>
  </si>
  <si>
    <t xml:space="preserve">A.	Flexibility in Inter-State transactions  B. Green Term Ahead Market (G-TAM) &amp; Real Time Market (RTM)                                  C.	PSS-wise Contract Management  D.	Modification in Week Ahead Schedule format database </t>
  </si>
  <si>
    <t>Security cabin</t>
  </si>
  <si>
    <t>ALDC Misc expenses - landscaping, water supply, Testing</t>
  </si>
  <si>
    <t>ALDC IT infrastructure</t>
  </si>
  <si>
    <t>Integration of NEW S/S at SLDC Airoli and ALDC SCADA 
(27 RTU integration)</t>
  </si>
  <si>
    <t>13.01.2023</t>
  </si>
  <si>
    <t>work not started</t>
  </si>
  <si>
    <t>Scheme cancelled</t>
  </si>
  <si>
    <t>S/I/T/C of video conferencing system at SLDC conference room</t>
  </si>
  <si>
    <t>Development of new MSLDC website and hosting on cloud</t>
  </si>
  <si>
    <t>Integration of 20 DC at SLDC Airoli and ALDC</t>
  </si>
  <si>
    <t>22.03.2024</t>
  </si>
  <si>
    <t xml:space="preserve">Payment not done 99.83 </t>
  </si>
  <si>
    <t>Life extension of new MSLDC building</t>
  </si>
  <si>
    <t>Staff recreation and rejuvenation facilities</t>
  </si>
  <si>
    <t>BMS Automation</t>
  </si>
  <si>
    <t>Battery set with charger</t>
  </si>
  <si>
    <t>Civil UPVC vertical fins for ventillation</t>
  </si>
  <si>
    <t>Civil works of new SLDC Building, Airoli</t>
  </si>
  <si>
    <t xml:space="preserve">General Asset: SLDC
</t>
  </si>
  <si>
    <t>General Asset: R.O. Water purifier at ALDC
General Asset:- Cassette A/C 4TR</t>
  </si>
  <si>
    <t>31.12.2021</t>
  </si>
  <si>
    <t>19.03.2024</t>
  </si>
  <si>
    <t>DSM (change request)</t>
  </si>
  <si>
    <t>Change Request for modification in DSM software to incorporate directives of Hon'ble MERC suo-motu Order dtd 02/08/2022</t>
  </si>
  <si>
    <t>31.08.2019</t>
  </si>
  <si>
    <t>31.03.2022</t>
  </si>
  <si>
    <t>Development of alert messaging system</t>
  </si>
  <si>
    <t>Scheme is cancelled</t>
  </si>
  <si>
    <t>Renovation and modernization of existing SCADA at SLDC and ALDC</t>
  </si>
  <si>
    <t>Integration of NEW S/S at SLDC Airoli and ALDC SCADA (27 RTU integration)</t>
  </si>
  <si>
    <t>Upgradation of WAMS</t>
  </si>
  <si>
    <t>CCTV, Security system, voice recording</t>
  </si>
  <si>
    <t>Life extension of Krishna and Kaveri building</t>
  </si>
  <si>
    <t>Structural strengthening of new MSLDC building</t>
  </si>
  <si>
    <t>Energy efficient building upgradation and solar lighting</t>
  </si>
  <si>
    <t>Furniture and office equipment</t>
  </si>
  <si>
    <t>staff recreation and rejuvenation activity</t>
  </si>
  <si>
    <t>IT infrastructure (Firewall, 2 No of FTP, WIFI device, new desktop and laptop)</t>
  </si>
  <si>
    <t>Hardware for reserve and ancillary services software (GAMS software)</t>
  </si>
  <si>
    <t>This scheme is proposed in FY 2025-26</t>
  </si>
  <si>
    <t>Development of load forecasting software</t>
  </si>
  <si>
    <t>ALDC Misc. expenses - landscaping, rooftop solar scheme, CCTV, staff recreation, office furniture</t>
  </si>
  <si>
    <t>Submitted for approval to MERC vide letter no.ED/MSLDC Airoli/2017 dated 03.10.2024 (rooftop solar)</t>
  </si>
  <si>
    <t>Development of reserve and ancillary service software for intrastate generation (GAMS)</t>
  </si>
  <si>
    <t>Group is formed. Study is in progress. Scheme is proposed in FY 2025-26</t>
  </si>
  <si>
    <t>REC</t>
  </si>
  <si>
    <t>Fire Hydrant System works</t>
  </si>
  <si>
    <t>RFID based auto boom barrier with camera</t>
  </si>
  <si>
    <t xml:space="preserve">General Asset: ALDC
</t>
  </si>
  <si>
    <t>To incorporate observations from TPC-D as regards inter-discom wheeling of power at 33kV level</t>
  </si>
  <si>
    <t>Development of comprehensive s/w for Scheduling and Dispatch, Deviation settlement and State Energy Accounting activities and implementation of DSM mechanism in MSLDC</t>
  </si>
  <si>
    <t>19.09.2019</t>
  </si>
  <si>
    <t>MERC/Capex/MSLDC/2024-25/0350</t>
  </si>
  <si>
    <t>26 Cr. (for 2024-25)</t>
  </si>
  <si>
    <t>Class I type staff quarter and guest house and recreation hall and gymnasium</t>
  </si>
  <si>
    <t>Replacement of existing VPS at ALDC</t>
  </si>
  <si>
    <t>Change Request for modification in DSM software</t>
  </si>
  <si>
    <t>Change Request for modification in DSM software to incorporate observations from TPC-D as regards inter-discom wheeling of power at 33kV level</t>
  </si>
  <si>
    <t>Upgradation of the Oracle Database Software from Standard Edition to the Enterprise Edition used for the DSM Software. (For DC-DR Active-Active Solution)</t>
  </si>
  <si>
    <t>Change Request for modification in RE-DSM software</t>
  </si>
  <si>
    <t>Change Request for modification in RE-DSM software To incorporate changes as per Hon'ble MERC F&amp;S (First Amendment) Regulations (as regards Actual payment regime)</t>
  </si>
  <si>
    <t>Development of new FBSM software</t>
  </si>
  <si>
    <t xml:space="preserve">Revision of FBSM biils as per Hon'ble MERC Order in Case No. 297 of 2018 </t>
  </si>
  <si>
    <t>116  (Estimated)</t>
  </si>
  <si>
    <t>Rooftop solar scheme at ALDC</t>
  </si>
  <si>
    <t>Submitted for approval to MERC vide letter no.ED/MSLDC Airoli/2017 dated 03.10.2024</t>
  </si>
  <si>
    <t>Staff recreation and rejuvenation activity</t>
  </si>
  <si>
    <t>Postponed to FY 2025-16</t>
  </si>
  <si>
    <t>IT infrastructure (Firewall, 2 No of FTP, Switches) at ALDC</t>
  </si>
  <si>
    <t>Cyber Security of IT Systems</t>
  </si>
  <si>
    <t>20.08.2024</t>
  </si>
  <si>
    <t>19.12.2024</t>
  </si>
  <si>
    <t>SITC of desktop and Router at ALDC</t>
  </si>
  <si>
    <t>For Routing and C-SOC</t>
  </si>
  <si>
    <t>22.07.2024</t>
  </si>
  <si>
    <t>22.10.2024</t>
  </si>
  <si>
    <t>SITC of desktop and Laptops at ALDC</t>
  </si>
  <si>
    <t>Day to Day Work on PC</t>
  </si>
  <si>
    <t>Under Tendering</t>
  </si>
  <si>
    <t>Renv &amp; Moden of Conference Hall at ALDC</t>
  </si>
  <si>
    <t>Renovation of Conference Hall</t>
  </si>
  <si>
    <t>Under Process</t>
  </si>
  <si>
    <t>S/I/T/C for 2 nos. of CISCO routers and switches for SCADA MPLS</t>
  </si>
  <si>
    <t>Building renovation and modernisation/life extension of building at ALDC</t>
  </si>
  <si>
    <t>Furniture for office and equipment at ALDC</t>
  </si>
  <si>
    <t>S/I/T/C of new desktop laptop</t>
  </si>
  <si>
    <t>Building renovation and modernisation/life extension of building</t>
  </si>
  <si>
    <t>Furniture for office and equipment</t>
  </si>
  <si>
    <t>A/C Plant</t>
  </si>
  <si>
    <t>UPS system</t>
  </si>
  <si>
    <t>ALDC Misc expenses - life extension of building, Testing equipment, furniture</t>
  </si>
  <si>
    <t>Purchase of 4 Nos. of PSSE Software Licenses at MSLDC, Airoli</t>
  </si>
  <si>
    <t>As per case No. 233 of 2022</t>
  </si>
  <si>
    <t>31.03.2023</t>
  </si>
  <si>
    <t>Purchase of software license for carrying out sumilation studies at MSLDC for RE Integration, Dynamic Studies, Outage approvals, LTS/Islanding Studies, etc.</t>
  </si>
  <si>
    <t>Additional: Construction of compound wall from main entrance gate (NH-6) to colony gate  L=
326RMT X 2= 652RMT   (Note submitted vide no SE/ALDC/NGP/Tech/416 Dt 05.10.2023) at ALDC</t>
  </si>
  <si>
    <t>NOC denied by Ordnance Factory Ambazari Nagpur</t>
  </si>
  <si>
    <t>Incidental SCADA expenses at ALDC</t>
  </si>
  <si>
    <t>IT Infrasctructure Development (Firewall, Router, Switches, Server, Desktop/Laptop/Printer)</t>
  </si>
  <si>
    <t>Renovation and Modernization of existing SCADA System at SLDC Kalwa and ALDC Ambazari</t>
  </si>
  <si>
    <t>43.05 Cr. (for 2025-26)</t>
  </si>
  <si>
    <t>Rate Contract for Services towards Integration of 260 SAS/DCs/RTUs of any make over 
IEC 104 protocol into SCADA System at MSLDC Kalwa and ALDC Ambazari</t>
  </si>
  <si>
    <t>DSM</t>
  </si>
  <si>
    <t>To incorporate changes in DSM software as per requirement</t>
  </si>
  <si>
    <t>0.75 Cr (Tentative)</t>
  </si>
  <si>
    <t>Development of Analytical Tools for WAMS system.</t>
  </si>
  <si>
    <t>Consultation charges for Construction of new Data Centre with DC-DR Configuration</t>
  </si>
  <si>
    <t>Development of New QCA REDSM software based on MERC(F&amp;S) 
First ammendment notification</t>
  </si>
  <si>
    <t>Implementation of Hon,ble MERC(F&amp;S)(First Amendment) Regulations</t>
  </si>
  <si>
    <t>5.0 Cr (Estimated)</t>
  </si>
  <si>
    <t>Customizations in REMC Scheduling &amp; Accounting Software to accomodate 
regulatory changes, Orders of MoP, etc</t>
  </si>
  <si>
    <t>Customizations in the State DSM Software to accomodate regulatory changes, Orders of MoP, etc</t>
  </si>
  <si>
    <t>Development of comprehensive Data warehousing &amp; analytical software having various modules
viz. First Time Charging, Outage Management, Analytics based on SCADA, Schedule, Meter &amp;
PMU data, etc having capability of integration with SCADA, DSM, MDM System, etc.</t>
  </si>
  <si>
    <t>Development of Demand estimation software</t>
  </si>
  <si>
    <t>Establishment of CSOC (Cyber Security Operation Centre) at SLDC</t>
  </si>
  <si>
    <t>Implementation of advanced Cyber Security Solution for IT and OT Inftrastructure of SLDC</t>
  </si>
  <si>
    <t>Additional: Construction of compound wall from main entrance gate (NH-6) to colony gate  L=
326RMT X 2= 652RMT   (Note submitted vide no SE/ALDC/NGP/Tech/416 Dt 05.10.2023)</t>
  </si>
  <si>
    <t xml:space="preserve">33 kV Express feeder with OPGW cable for redundant power supply and data connectivity from
220kV Ambazari s/s </t>
  </si>
  <si>
    <t>Work under progress and Joint survey is conducted along with MSEDCL officials.</t>
  </si>
  <si>
    <t>New Residential tower at MSLDC, Airoli</t>
  </si>
  <si>
    <t>Incidental SCADA expenses</t>
  </si>
  <si>
    <t xml:space="preserve">Incidental REMC &amp; URTDSM expenses </t>
  </si>
  <si>
    <t xml:space="preserve">restructuring and beautification of Fountain area </t>
  </si>
  <si>
    <t>Life extension of Panchganga and Sabarmati building.</t>
  </si>
  <si>
    <t xml:space="preserve">Compliances of Fire &amp; Safety Audit   </t>
  </si>
  <si>
    <t>Changes in DSM software as per CERC DSM framework as and when notified or any other 
modification in the DSM software</t>
  </si>
  <si>
    <t>Customizations in GNA invoice software to accomodate regulatory changes, Orders of MoP, etc.</t>
  </si>
  <si>
    <t>Customizations in Short term  Open access Software to accomodate regulatory changes, Orders of MoP, etc.</t>
  </si>
  <si>
    <t>IT Infrasctructure Development (Firewall, Router, Switches, Server, Desktop/Laptop/Printer,Antivirus, Wifi)</t>
  </si>
  <si>
    <t>Incidental Hardware SCADA expenses</t>
  </si>
  <si>
    <t>Building / premises development</t>
  </si>
  <si>
    <t>Procurement of Air-Conditioners</t>
  </si>
  <si>
    <t>Communication Devices, Exchange etc</t>
  </si>
  <si>
    <t xml:space="preserve">48V Battery set along with charger and DCDB </t>
  </si>
  <si>
    <t>Rate Contract for Services towards Integration of 260 SAS/DCs/RTUs of any make over IEC 104 protocol into SCADA System at MSLDC Kalwa and ALDC Ambazari</t>
  </si>
  <si>
    <t>To incorporate changes in DSM software as per Resource Adequecy framework and also as per requirements</t>
  </si>
  <si>
    <t>1.10 Cr (Tentative)</t>
  </si>
  <si>
    <t>RE-DSM</t>
  </si>
  <si>
    <t>To incorporate changes in RE-DSM software as per requirement</t>
  </si>
  <si>
    <t>2.50 Cr (Tentative)</t>
  </si>
  <si>
    <t>Unified Communication Infrastructure (Communication Hub) interface at SCADA for 
Data acquisation of SCADA/REMC/URTDSM</t>
  </si>
  <si>
    <t>Maharashtra State Unified Synchrophasor Project (MSETCL WAMS Proiect)</t>
  </si>
  <si>
    <t>Upgradation of REMC SCADA entire system</t>
  </si>
  <si>
    <t xml:space="preserve">Development of New QCA REDSM software based on MERC(F&amp;S) First ammendment notification.  </t>
  </si>
  <si>
    <t>Customizations in REMC Scheduling &amp; Accounting Software to accomodate 
regulatory changes, Orders of MoP, etc.</t>
  </si>
  <si>
    <t xml:space="preserve">Development of PSS-wise RE Forecasting Software for MSLDC. </t>
  </si>
  <si>
    <t>To get  PSS wise RE forecasting as per MERC regulation no. 5.12 of the MERC (Forecasting, Scheduling &amp; Deviation Settlement for Solar &amp; Wind Generation) Regulations, 2018</t>
  </si>
  <si>
    <t>60KVA x2 UPS along with 02 number of battery sets 300AH and Battery Charger for 
existing 384V Battery set</t>
  </si>
  <si>
    <t>Incidental REMC &amp; URTDSM expenses</t>
  </si>
  <si>
    <t>Compliances of Fire &amp; Safety Audit</t>
  </si>
  <si>
    <t>Repalcement of 2 Nos. of 100KVA UPS.</t>
  </si>
  <si>
    <t xml:space="preserve">Purchase of Office Furniture </t>
  </si>
  <si>
    <t>Change in FBSM software as per APTEL / MERC order</t>
  </si>
  <si>
    <t>Changes in DSM software as per Resource Adequacy  framework as and when notified  or any 
other modification in the DSM software</t>
  </si>
  <si>
    <t>Customizations in the State data warehousing safotware and analytical tool  accomodate 
regulatory changes, Orders of MoP, etc</t>
  </si>
  <si>
    <t>IT Infrasctructure Development (Firewall, Router, Switches, Server, Desktop/Laptop/Printer</t>
  </si>
  <si>
    <t xml:space="preserve">Purchase of Office Equipments  </t>
  </si>
  <si>
    <t>Change Request for modification in FBSM software</t>
  </si>
  <si>
    <t>To incorporate changes in FBSM software as per requirement</t>
  </si>
  <si>
    <t>0.50 Cr (Tentative)</t>
  </si>
  <si>
    <t>DPR Schemes</t>
  </si>
  <si>
    <t>Development of REMC SCADA, Scheduling &amp; Forecasting Software after 
completion of 7 years AMC period (Software put in use in year 2020)</t>
  </si>
  <si>
    <t xml:space="preserve">Development of Analytical Tools for WAMS system. </t>
  </si>
  <si>
    <t>Maharashtra State Unified Synchrophasor Project (MSETCL WAMS Proiect) &amp; 
Upgradation of URTDSM System</t>
  </si>
  <si>
    <t xml:space="preserve">Customizations in REMC Scheduling &amp; Accounting Software to accomodate 
regulatory changes, Orders of MoP, etc.   </t>
  </si>
  <si>
    <t>0.20 Cr (Tentative)</t>
  </si>
  <si>
    <t>1.00 Cr (Tentative)</t>
  </si>
  <si>
    <t>Non DPR Schemes</t>
  </si>
  <si>
    <t xml:space="preserve">Repalcement of 440Nos of 400AH 2V VRLA Batteries  </t>
  </si>
  <si>
    <t xml:space="preserve">Incidental Maintenance Expenses </t>
  </si>
  <si>
    <t>Changes in DSM software as per CERC DSM framework as and when notified 
or any other modification in the DSM software</t>
  </si>
  <si>
    <t>Customizations in the State data warehousing safotware and analytical tool 
accomodate regulatory changes, Orders of MoP, etc</t>
  </si>
  <si>
    <t>Customizations in Demand estimation software to accomodate regulatory changes, Orders of MoP, etc.</t>
  </si>
  <si>
    <t xml:space="preserve">Building / premises development   </t>
  </si>
  <si>
    <t>Development of REMC SCADA, Scheduling &amp; Forecasting Software after completion of 
7 years AMC period (Software put in use in year 2020)</t>
  </si>
  <si>
    <t>Changes in DSM software as per CERC DSM framework as and when notified  or any 
other modification in the DSM software</t>
  </si>
  <si>
    <t xml:space="preserve">Building / premises development  </t>
  </si>
  <si>
    <t xml:space="preserve">Change request for New QCA REDSM software     </t>
  </si>
  <si>
    <t xml:space="preserve">Customizations in REMC Scheduling &amp; Accounting Software to accomodate 
regulatory changes, Orders of MoP, etc. </t>
  </si>
  <si>
    <t xml:space="preserve">Procurement of Air-Conditioners    </t>
  </si>
  <si>
    <t xml:space="preserve">DG set  </t>
  </si>
  <si>
    <t>(Rs. Lakhs)</t>
  </si>
  <si>
    <t>Actual Capitalisation till FY 2021-22</t>
  </si>
  <si>
    <t>02.06.2018</t>
  </si>
  <si>
    <t>15.02.2023</t>
  </si>
  <si>
    <t>Only 77 RTUs have been considered. Scheme is now closed</t>
  </si>
  <si>
    <t>20.08.2021</t>
  </si>
  <si>
    <t xml:space="preserve">
20.03.2023</t>
  </si>
  <si>
    <t xml:space="preserve">29.05.2023 </t>
  </si>
  <si>
    <t>15.03.2023</t>
  </si>
  <si>
    <t>Balance work will be completed in 2024-25</t>
  </si>
  <si>
    <t>15.3.2023</t>
  </si>
  <si>
    <t>26.08.2021</t>
  </si>
  <si>
    <t xml:space="preserve">WCR Not recived </t>
  </si>
  <si>
    <t>18.05.2022</t>
  </si>
  <si>
    <t>14.06.2022</t>
  </si>
  <si>
    <t>17.02.2023</t>
  </si>
  <si>
    <t>18.01.2023</t>
  </si>
  <si>
    <t>15.07.2022</t>
  </si>
  <si>
    <t>25.08.2022</t>
  </si>
  <si>
    <t>General Asset</t>
  </si>
  <si>
    <t>02.02.2023</t>
  </si>
  <si>
    <t>09.02.2023</t>
  </si>
  <si>
    <t>23.08.2022</t>
  </si>
  <si>
    <t>23.02.2023</t>
  </si>
  <si>
    <t>18.02.2022</t>
  </si>
  <si>
    <t>14.09.2022</t>
  </si>
  <si>
    <t>21.06.2022</t>
  </si>
  <si>
    <t>08.08.2024</t>
  </si>
  <si>
    <t>Due to complex logics and testing in live envirnment has impacted development and deployment</t>
  </si>
  <si>
    <t>Installation of RTU is not completed by MSETCL.</t>
  </si>
  <si>
    <t>Work Order cancelled.</t>
  </si>
  <si>
    <t>Scheme cancelled. Modifications carried out in existing system.</t>
  </si>
  <si>
    <t>Under tendering.</t>
  </si>
  <si>
    <t>21.09.2024</t>
  </si>
  <si>
    <t>26.05.2023</t>
  </si>
  <si>
    <t>15.06.2023</t>
  </si>
  <si>
    <t>28.08.2023</t>
  </si>
  <si>
    <t>vehicle parking shed</t>
  </si>
  <si>
    <t>civil work of new sldc bulding airoli</t>
  </si>
  <si>
    <t xml:space="preserve">01.04.2022
</t>
  </si>
  <si>
    <t xml:space="preserve">31.03.2023
</t>
  </si>
  <si>
    <t>DSM (Change request)</t>
  </si>
  <si>
    <t>09.07.2022</t>
  </si>
  <si>
    <t>3.31.2023</t>
  </si>
  <si>
    <t>This scheme is proposed in FY 2025-26.</t>
  </si>
  <si>
    <t>capital   bt not punch I n system</t>
  </si>
  <si>
    <t>civil  water proof &amp; strut strengt sldc</t>
  </si>
  <si>
    <t>capital bt not punch I n system</t>
  </si>
  <si>
    <t xml:space="preserve">01.04.2023
</t>
  </si>
  <si>
    <t>31.03.2024</t>
  </si>
  <si>
    <t>31.07.2024</t>
  </si>
  <si>
    <t>9.8.2019</t>
  </si>
  <si>
    <t>25.09.2024</t>
  </si>
  <si>
    <t>27.07.2025</t>
  </si>
  <si>
    <t>30.08.2024</t>
  </si>
  <si>
    <t>NOC denied by the Defence Ministry</t>
  </si>
  <si>
    <t>IT Infrasctructure Development (Firewall, Router, Switches, Server, Desktop/Laptop/Printer) at ALDC</t>
  </si>
  <si>
    <t>01.04.2024</t>
  </si>
  <si>
    <t>31.03.2025</t>
  </si>
  <si>
    <t>New REMC and QCA REDSM software for Implementation of Hon,ble MERC(F&amp;S)(First Amendment) Regulations</t>
  </si>
  <si>
    <t>Customizations in REMC Scheduling &amp; Accounting Software to accommodate regulatory changes, Orders of MoP, etc</t>
  </si>
  <si>
    <t>Additional: Construction of compound wall from main entrance gate (NH-6) to colony gate  L=326RMT X 2= 652RMT   (Note submitted vide no SE/ALDC/NGP/Tech/416 Dt 05.10.2023)</t>
  </si>
  <si>
    <t xml:space="preserve">33 kV Express feeder with OPGW cable for redundant power supply and data connectivity from 220kV Ambazari s/s </t>
  </si>
  <si>
    <t>Consultancy for verification of existing setup for compliance of data centre norms</t>
  </si>
  <si>
    <t>Development of data handling platform analytical software</t>
  </si>
  <si>
    <t>Procurement of optimization tool software licence for SCED and SCUC in the State along with resource adequacy tool</t>
  </si>
  <si>
    <t>Procurement of optimization tool software licence for SCED and SCUC in the State (GAMS)</t>
  </si>
  <si>
    <t>ALDC building premises development Civil</t>
  </si>
  <si>
    <t>Procurement of AC</t>
  </si>
  <si>
    <t>Purchase of office equipememnt / furniture ALDC</t>
  </si>
  <si>
    <t>48V 1000 Ah battery set along with charger and DCDV</t>
  </si>
  <si>
    <t>Incendental SCADA ALDC</t>
  </si>
  <si>
    <t>IT ALDC</t>
  </si>
  <si>
    <t>Rate Contract for Services towards Integration of 260 SAS/DCs/RTUs of any make over IEC 104 protocol  into SCADA System at MSLDC Kalwa and ALDC Ambazari</t>
  </si>
  <si>
    <t>Unified Communication Infrastructure (Communication Hub) interface at SCADA for Data acquisation of SCADA/REMC/URTDSM</t>
  </si>
  <si>
    <t>Customizations in REMC Scheduling &amp; Accounting Software to accomodate regulatory changes, Orders of MoP, etc.</t>
  </si>
  <si>
    <t>Construction of new Data Centre with DC-DR Configuration</t>
  </si>
  <si>
    <t>Replacement of  UPS along with 300 Ah battery ALDC</t>
  </si>
  <si>
    <t>Upgradation of REMC SCADA entire system (Development of REMC SCADA, Scheduling &amp; Forecasting Software after 
completion of 7 years AMC period (Software put in use in year 2020))</t>
  </si>
  <si>
    <t xml:space="preserve">Customizations in REMC Scheduling &amp; Accounting Software to accomodate regulatory changes, Orders of MoP, etc.   </t>
  </si>
  <si>
    <t>Development of PSS-wise RE Forecasting Software for MSLDC (change request)</t>
  </si>
  <si>
    <t xml:space="preserve">Replacement of 440Nos of 400AH 2V VRLA Batteries  </t>
  </si>
  <si>
    <t xml:space="preserve">Purchase of Office furniture/ Equipments  </t>
  </si>
  <si>
    <t>Maharashtra State Unified Synchrophasor Project (MSETCL WAMS Proiect) &amp; Upgradation of URTDSM System</t>
  </si>
  <si>
    <t>Customizations in REMC Scheduling &amp; Accounting Software to accomodate  regulatory changes, Orders of MoP, etc.</t>
  </si>
  <si>
    <t xml:space="preserve">Customizations in REMC Scheduling &amp; Accounting Software to accomodate regulatory changes, Orders of MoP, etc. </t>
  </si>
  <si>
    <t xml:space="preserve">Purchase of Office Furniture /Equipments  </t>
  </si>
  <si>
    <t>DG set</t>
  </si>
  <si>
    <t>State specific customization in REMC software and allied additional requirement of hardware through change order</t>
  </si>
  <si>
    <t>Watchman cabin at SLDC main gate</t>
  </si>
  <si>
    <t xml:space="preserve">Maharashtra State Load Despatch Centre
MYT Petition Formats - Fees and Charges for MSLDC
Form 17:  LDC Development Fund (Projected)  </t>
  </si>
  <si>
    <t>a) development of comprehensive cloudbase platform for  daily system report-(DSR),outage management, first time charging (FTC) - 5 cr ( 4+0.25 for 4 yrs)</t>
  </si>
  <si>
    <t xml:space="preserve">b)Development of integretad data handling platform analytical software, analytics based on SCADA,Schedule, Merter and PMU data ect having  capability of integration with SCADA DSM MDM system ETC </t>
  </si>
  <si>
    <t>Less: Rescheduling charges</t>
  </si>
  <si>
    <t>Rescheduling charges</t>
  </si>
</sst>
</file>

<file path=xl/styles.xml><?xml version="1.0" encoding="utf-8"?>
<styleSheet xmlns="http://schemas.openxmlformats.org/spreadsheetml/2006/main">
  <numFmts count="11">
    <numFmt numFmtId="43" formatCode="_ * #,##0.00_ ;_ * \-#,##0.00_ ;_ * &quot;-&quot;??_ ;_ @_ "/>
    <numFmt numFmtId="164" formatCode="_(* #,##0.00_);_(* \(#,##0.00\);_(* &quot;-&quot;??_);_(@_)"/>
    <numFmt numFmtId="165" formatCode="_(&quot;₹&quot;* #,##0.00_);_(&quot;₹&quot;* \(#,##0.00\);_(&quot;₹&quot;* &quot;-&quot;??_);_(@_)"/>
    <numFmt numFmtId="166" formatCode="_-* #,##0.00_-;\-* #,##0.00_-;_-* &quot;-&quot;??_-;_-@_-"/>
    <numFmt numFmtId="167" formatCode="0.00_)"/>
    <numFmt numFmtId="168" formatCode="&quot;ß&quot;#,##0.00_);\(&quot;ß&quot;#,##0.00\)"/>
    <numFmt numFmtId="169" formatCode="_(* #,##0_);_(* \(#,##0\);_(* &quot;-&quot;??_);_(@_)"/>
    <numFmt numFmtId="170" formatCode="_-* #,##0_-;\-* #,##0_-;_-* &quot;-&quot;??_-;_-@_-"/>
    <numFmt numFmtId="171" formatCode="_ * #,##0_ ;_ * \-#,##0_ ;_ * &quot;-&quot;??_ ;_ @_ "/>
    <numFmt numFmtId="172" formatCode="0.0"/>
    <numFmt numFmtId="173" formatCode="0.0000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b/>
      <sz val="11"/>
      <name val="Times New Roman"/>
      <family val="1"/>
    </font>
    <font>
      <sz val="10"/>
      <name val="Times New Roman"/>
      <family val="1"/>
    </font>
    <font>
      <b/>
      <sz val="11"/>
      <color indexed="8"/>
      <name val="Times New Roman"/>
      <family val="1"/>
    </font>
    <font>
      <sz val="11"/>
      <color indexed="8"/>
      <name val="Times New Roman"/>
      <family val="1"/>
    </font>
    <font>
      <vertAlign val="superscript"/>
      <sz val="11"/>
      <name val="Times New Roman"/>
      <family val="1"/>
    </font>
    <font>
      <sz val="11"/>
      <color indexed="13"/>
      <name val="Times New Roman"/>
      <family val="1"/>
    </font>
    <font>
      <sz val="10"/>
      <name val="Arial"/>
      <family val="2"/>
    </font>
    <font>
      <b/>
      <sz val="11"/>
      <color indexed="13"/>
      <name val="Times New Roman"/>
      <family val="1"/>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u/>
      <sz val="11"/>
      <name val="Times New Roman"/>
      <family val="1"/>
    </font>
    <font>
      <sz val="11"/>
      <name val="Arial"/>
      <family val="2"/>
    </font>
    <font>
      <sz val="11"/>
      <color theme="1"/>
      <name val="Calibri"/>
      <family val="2"/>
      <scheme val="minor"/>
    </font>
    <font>
      <sz val="11"/>
      <color theme="1"/>
      <name val="Times New Roman"/>
      <family val="1"/>
    </font>
    <font>
      <b/>
      <sz val="11"/>
      <color theme="1"/>
      <name val="Times New Roman"/>
      <family val="1"/>
    </font>
    <font>
      <sz val="11"/>
      <color indexed="8"/>
      <name val="Calibri"/>
      <family val="2"/>
    </font>
    <font>
      <sz val="11"/>
      <color theme="1"/>
      <name val="Calibri"/>
      <family val="2"/>
    </font>
    <font>
      <b/>
      <sz val="11"/>
      <color indexed="9"/>
      <name val="Times New Roman"/>
      <family val="1"/>
    </font>
    <font>
      <sz val="11"/>
      <color theme="1"/>
      <name val="Book Antiqua"/>
      <family val="1"/>
    </font>
    <font>
      <sz val="10"/>
      <color theme="1"/>
      <name val="Arial"/>
      <family val="2"/>
    </font>
    <font>
      <b/>
      <sz val="10"/>
      <name val="Times New Roman"/>
      <family val="1"/>
    </font>
    <font>
      <b/>
      <sz val="12"/>
      <name val="Times New Roman"/>
      <family val="1"/>
    </font>
    <font>
      <b/>
      <u/>
      <sz val="11"/>
      <name val="Times New Roman"/>
      <family val="1"/>
    </font>
    <font>
      <b/>
      <sz val="10"/>
      <color theme="1"/>
      <name val="Arial"/>
      <family val="2"/>
    </font>
    <font>
      <b/>
      <sz val="12"/>
      <color theme="1"/>
      <name val="Arial"/>
      <family val="2"/>
    </font>
    <font>
      <b/>
      <sz val="11"/>
      <name val="Arial"/>
      <family val="2"/>
    </font>
    <font>
      <sz val="12"/>
      <name val="Times New Roman"/>
      <family val="1"/>
    </font>
    <font>
      <b/>
      <sz val="10"/>
      <name val="Arial"/>
      <family val="2"/>
    </font>
    <font>
      <sz val="10"/>
      <color theme="0" tint="-0.499984740745262"/>
      <name val="Arial"/>
      <family val="2"/>
    </font>
    <font>
      <b/>
      <sz val="10"/>
      <color theme="3"/>
      <name val="Arial"/>
      <family val="2"/>
    </font>
    <font>
      <b/>
      <sz val="11"/>
      <color rgb="FF000000"/>
      <name val="Times New Roman"/>
      <family val="1"/>
    </font>
    <font>
      <sz val="11"/>
      <color rgb="FF000000"/>
      <name val="Times New Roman"/>
      <family val="1"/>
    </font>
    <font>
      <i/>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indexed="8"/>
      <name val="Calibri"/>
      <family val="2"/>
    </font>
    <font>
      <sz val="10"/>
      <name val="Arial"/>
      <family val="2"/>
    </font>
    <font>
      <sz val="11"/>
      <color rgb="FFFF0000"/>
      <name val="Times New Roman"/>
      <family val="1"/>
    </font>
    <font>
      <u/>
      <sz val="10"/>
      <color theme="10"/>
      <name val="Arial"/>
      <family val="2"/>
    </font>
    <font>
      <sz val="10"/>
      <color indexed="8"/>
      <name val="Arial"/>
      <family val="2"/>
    </font>
    <font>
      <sz val="10"/>
      <color rgb="FF000000"/>
      <name val="TimesNewRomanPSMT"/>
    </font>
    <font>
      <b/>
      <sz val="10"/>
      <color rgb="FF000000"/>
      <name val="TimesNewRomanPS-BoldMT"/>
    </font>
    <font>
      <sz val="7"/>
      <color rgb="FF000000"/>
      <name val="TimesNewRomanPSMT"/>
    </font>
    <font>
      <b/>
      <sz val="7"/>
      <color rgb="FF000000"/>
      <name val="TimesNewRomanPS-BoldMT"/>
    </font>
    <font>
      <sz val="16"/>
      <name val="Arial"/>
      <family val="2"/>
    </font>
    <font>
      <sz val="12"/>
      <name val="Arial"/>
      <family val="2"/>
    </font>
    <font>
      <sz val="11"/>
      <name val="Calibri"/>
      <family val="2"/>
      <scheme val="minor"/>
    </font>
    <font>
      <sz val="11"/>
      <color theme="0"/>
      <name val="Calibri"/>
      <family val="2"/>
    </font>
    <font>
      <sz val="9"/>
      <color rgb="FF000000"/>
      <name val="Arial"/>
      <family val="2"/>
    </font>
    <font>
      <i/>
      <sz val="9"/>
      <name val="Times New Roman"/>
      <family val="1"/>
    </font>
    <font>
      <i/>
      <sz val="11"/>
      <name val="Arial"/>
      <family val="2"/>
    </font>
    <font>
      <sz val="14"/>
      <name val="Arial"/>
      <family val="2"/>
    </font>
    <font>
      <sz val="12"/>
      <color rgb="FF000000"/>
      <name val="Arial"/>
      <family val="2"/>
    </font>
    <font>
      <b/>
      <sz val="11"/>
      <color rgb="FFFF0000"/>
      <name val="Times New Roman"/>
      <family val="1"/>
    </font>
    <font>
      <b/>
      <sz val="11"/>
      <color rgb="FFFF0000"/>
      <name val="Calibri"/>
      <family val="2"/>
      <scheme val="minor"/>
    </font>
    <font>
      <b/>
      <sz val="11"/>
      <color rgb="FF00B050"/>
      <name val="Calibri"/>
      <family val="2"/>
      <scheme val="minor"/>
    </font>
    <font>
      <sz val="11"/>
      <color rgb="FF00B050"/>
      <name val="Calibri"/>
      <family val="2"/>
      <scheme val="minor"/>
    </font>
    <font>
      <sz val="11"/>
      <color rgb="FF00B050"/>
      <name val="Times New Roman"/>
      <family val="1"/>
    </font>
    <font>
      <b/>
      <sz val="11"/>
      <name val="Calibri"/>
      <family val="2"/>
      <scheme val="minor"/>
    </font>
    <font>
      <u/>
      <sz val="11"/>
      <color rgb="FFFF0000"/>
      <name val="Times New Roman"/>
      <family val="1"/>
    </font>
    <font>
      <sz val="10"/>
      <name val="Arial"/>
      <family val="2"/>
    </font>
  </fonts>
  <fills count="6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FBCBA3"/>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rgb="FFFABF8F"/>
        <bgColor indexed="64"/>
      </patternFill>
    </fill>
    <fill>
      <patternFill patternType="solid">
        <fgColor rgb="FFDAE9F8"/>
        <bgColor indexed="64"/>
      </patternFill>
    </fill>
    <fill>
      <patternFill patternType="solid">
        <fgColor rgb="FFF7C7AC"/>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rgb="FF000000"/>
      </patternFill>
    </fill>
    <fill>
      <patternFill patternType="solid">
        <fgColor rgb="FFC0C0C0"/>
        <bgColor rgb="FF000000"/>
      </patternFill>
    </fill>
    <fill>
      <patternFill patternType="solid">
        <fgColor theme="8" tint="0.59999389629810485"/>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92D050"/>
        <bgColor indexed="64"/>
      </patternFill>
    </fill>
    <fill>
      <patternFill patternType="solid">
        <fgColor theme="5" tint="0.39997558519241921"/>
        <bgColor indexed="64"/>
      </patternFill>
    </fill>
    <fill>
      <patternFill patternType="solid">
        <fgColor theme="9" tint="0.79998168889431442"/>
        <bgColor indexed="64"/>
      </patternFill>
    </fill>
  </fills>
  <borders count="43">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06">
    <xf numFmtId="0" fontId="0" fillId="0" borderId="0"/>
    <xf numFmtId="0" fontId="20" fillId="0" borderId="0" applyNumberFormat="0" applyFill="0" applyBorder="0" applyAlignment="0" applyProtection="0"/>
    <xf numFmtId="0" fontId="21" fillId="0" borderId="1"/>
    <xf numFmtId="0" fontId="21" fillId="0" borderId="1"/>
    <xf numFmtId="38" fontId="22" fillId="2" borderId="0" applyNumberFormat="0" applyBorder="0" applyAlignment="0" applyProtection="0"/>
    <xf numFmtId="0" fontId="23" fillId="0" borderId="2" applyNumberFormat="0" applyAlignment="0" applyProtection="0">
      <alignment horizontal="left" vertical="center"/>
    </xf>
    <xf numFmtId="0" fontId="23" fillId="0" borderId="3">
      <alignment horizontal="left" vertical="center"/>
    </xf>
    <xf numFmtId="10" fontId="22" fillId="3" borderId="4" applyNumberFormat="0" applyBorder="0" applyAlignment="0" applyProtection="0"/>
    <xf numFmtId="37" fontId="24" fillId="0" borderId="0"/>
    <xf numFmtId="167" fontId="25" fillId="0" borderId="0"/>
    <xf numFmtId="0" fontId="17" fillId="0" borderId="0"/>
    <xf numFmtId="0" fontId="17" fillId="0" borderId="0"/>
    <xf numFmtId="0" fontId="12" fillId="0" borderId="0"/>
    <xf numFmtId="0" fontId="12" fillId="0" borderId="0"/>
    <xf numFmtId="0" fontId="9" fillId="0" borderId="0">
      <alignment vertical="center"/>
    </xf>
    <xf numFmtId="0" fontId="17" fillId="0" borderId="0">
      <alignment vertical="center"/>
    </xf>
    <xf numFmtId="0" fontId="19" fillId="0" borderId="0">
      <alignment vertical="center"/>
    </xf>
    <xf numFmtId="0" fontId="17" fillId="0" borderId="0">
      <alignment vertical="center"/>
    </xf>
    <xf numFmtId="168" fontId="17" fillId="0" borderId="0" applyFont="0" applyFill="0" applyBorder="0" applyAlignment="0" applyProtection="0"/>
    <xf numFmtId="10" fontId="17" fillId="0" borderId="0" applyFont="0" applyFill="0" applyBorder="0" applyAlignment="0" applyProtection="0"/>
    <xf numFmtId="0" fontId="17" fillId="0" borderId="0"/>
    <xf numFmtId="0" fontId="9" fillId="0" borderId="0" applyBorder="0" applyProtection="0"/>
    <xf numFmtId="0" fontId="28" fillId="0" borderId="0"/>
    <xf numFmtId="164" fontId="28" fillId="0" borderId="0" applyFont="0" applyFill="0" applyBorder="0" applyAlignment="0" applyProtection="0"/>
    <xf numFmtId="9" fontId="28"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7" fillId="0" borderId="0" applyFont="0" applyFill="0" applyBorder="0" applyAlignment="0" applyProtection="0"/>
    <xf numFmtId="43" fontId="31" fillId="0" borderId="0" applyFont="0" applyFill="0" applyBorder="0" applyAlignment="0" applyProtection="0"/>
    <xf numFmtId="164" fontId="9" fillId="0" borderId="0" applyFont="0" applyFill="0" applyBorder="0" applyAlignment="0" applyProtection="0"/>
    <xf numFmtId="166" fontId="31" fillId="0" borderId="0" applyFont="0" applyFill="0" applyBorder="0" applyAlignment="0" applyProtection="0"/>
    <xf numFmtId="0" fontId="17" fillId="0" borderId="0"/>
    <xf numFmtId="0" fontId="17" fillId="0" borderId="0"/>
    <xf numFmtId="0" fontId="17" fillId="0" borderId="0"/>
    <xf numFmtId="0" fontId="17" fillId="0" borderId="0"/>
    <xf numFmtId="0" fontId="32" fillId="0" borderId="0"/>
    <xf numFmtId="0" fontId="17" fillId="0" borderId="0"/>
    <xf numFmtId="0" fontId="28" fillId="0" borderId="0"/>
    <xf numFmtId="0" fontId="31" fillId="0" borderId="0"/>
    <xf numFmtId="0" fontId="31" fillId="0" borderId="0"/>
    <xf numFmtId="0" fontId="28"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7" fillId="0" borderId="0" applyFont="0" applyFill="0" applyBorder="0" applyAlignment="0" applyProtection="0"/>
    <xf numFmtId="9" fontId="31" fillId="0" borderId="0" applyFont="0" applyFill="0" applyBorder="0" applyAlignment="0" applyProtection="0"/>
    <xf numFmtId="0" fontId="9" fillId="0" borderId="0"/>
    <xf numFmtId="0" fontId="9" fillId="0" borderId="0">
      <alignment vertical="center"/>
    </xf>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9" fillId="0" borderId="0"/>
    <xf numFmtId="0" fontId="12" fillId="0" borderId="0"/>
    <xf numFmtId="0" fontId="9" fillId="0" borderId="0">
      <alignment vertical="center"/>
    </xf>
    <xf numFmtId="168" fontId="31" fillId="0" borderId="0" applyFont="0" applyFill="0" applyBorder="0" applyAlignment="0" applyProtection="0"/>
    <xf numFmtId="0" fontId="9" fillId="0" borderId="0"/>
    <xf numFmtId="0" fontId="9" fillId="0" borderId="0"/>
    <xf numFmtId="0" fontId="9" fillId="0" borderId="0"/>
    <xf numFmtId="9" fontId="9" fillId="0" borderId="0" applyFont="0" applyFill="0" applyBorder="0" applyAlignment="0" applyProtection="0"/>
    <xf numFmtId="0" fontId="8" fillId="0" borderId="0"/>
    <xf numFmtId="164" fontId="8" fillId="0" borderId="0" applyFont="0" applyFill="0" applyBorder="0" applyAlignment="0" applyProtection="0"/>
    <xf numFmtId="166" fontId="9"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0" fontId="7" fillId="0" borderId="0"/>
    <xf numFmtId="164" fontId="7" fillId="0" borderId="0" applyFont="0" applyFill="0" applyBorder="0" applyAlignment="0" applyProtection="0"/>
    <xf numFmtId="0" fontId="49" fillId="0" borderId="0" applyNumberFormat="0" applyFill="0" applyBorder="0" applyAlignment="0" applyProtection="0"/>
    <xf numFmtId="0" fontId="50" fillId="0" borderId="14"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52" fillId="0" borderId="0" applyNumberFormat="0" applyFill="0" applyBorder="0" applyAlignment="0" applyProtection="0"/>
    <xf numFmtId="0" fontId="53" fillId="21" borderId="0" applyNumberFormat="0" applyBorder="0" applyAlignment="0" applyProtection="0"/>
    <xf numFmtId="0" fontId="54" fillId="22" borderId="0" applyNumberFormat="0" applyBorder="0" applyAlignment="0" applyProtection="0"/>
    <xf numFmtId="0" fontId="55" fillId="23" borderId="0" applyNumberFormat="0" applyBorder="0" applyAlignment="0" applyProtection="0"/>
    <xf numFmtId="0" fontId="56" fillId="24" borderId="17" applyNumberFormat="0" applyAlignment="0" applyProtection="0"/>
    <xf numFmtId="0" fontId="57" fillId="25" borderId="18" applyNumberFormat="0" applyAlignment="0" applyProtection="0"/>
    <xf numFmtId="0" fontId="58" fillId="25" borderId="17" applyNumberFormat="0" applyAlignment="0" applyProtection="0"/>
    <xf numFmtId="0" fontId="59" fillId="0" borderId="19" applyNumberFormat="0" applyFill="0" applyAlignment="0" applyProtection="0"/>
    <xf numFmtId="0" fontId="60" fillId="26" borderId="20" applyNumberFormat="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22" applyNumberFormat="0" applyFill="0" applyAlignment="0" applyProtection="0"/>
    <xf numFmtId="0" fontId="64"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4"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4"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9" borderId="0" applyNumberFormat="0" applyBorder="0" applyAlignment="0" applyProtection="0"/>
    <xf numFmtId="0" fontId="64"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6" fillId="43" borderId="0" applyNumberFormat="0" applyBorder="0" applyAlignment="0" applyProtection="0"/>
    <xf numFmtId="0" fontId="64"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6" fillId="47" borderId="0" applyNumberFormat="0" applyBorder="0" applyAlignment="0" applyProtection="0"/>
    <xf numFmtId="0" fontId="64"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0" borderId="0"/>
    <xf numFmtId="0" fontId="6" fillId="0" borderId="0"/>
    <xf numFmtId="0" fontId="6" fillId="27" borderId="21" applyNumberFormat="0" applyFont="0" applyAlignment="0" applyProtection="0"/>
    <xf numFmtId="0" fontId="6" fillId="0" borderId="0"/>
    <xf numFmtId="9" fontId="66" fillId="0" borderId="0" applyFont="0" applyFill="0" applyBorder="0" applyAlignment="0" applyProtection="0"/>
    <xf numFmtId="10" fontId="22" fillId="3" borderId="24" applyNumberFormat="0" applyBorder="0" applyAlignment="0" applyProtection="0"/>
    <xf numFmtId="10" fontId="9"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8" fillId="0" borderId="0" applyNumberFormat="0" applyFill="0" applyBorder="0" applyAlignment="0" applyProtection="0"/>
    <xf numFmtId="9" fontId="9" fillId="0" borderId="0" applyFont="0" applyFill="0" applyBorder="0" applyAlignment="0" applyProtection="0"/>
    <xf numFmtId="0" fontId="5" fillId="0" borderId="0"/>
    <xf numFmtId="10" fontId="9" fillId="0" borderId="0" applyFont="0" applyFill="0" applyBorder="0" applyAlignment="0" applyProtection="0"/>
    <xf numFmtId="0" fontId="9"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43" fontId="31" fillId="0" borderId="0" applyFont="0" applyFill="0" applyBorder="0" applyAlignment="0" applyProtection="0"/>
    <xf numFmtId="43" fontId="9" fillId="0" borderId="0" applyFont="0" applyFill="0" applyBorder="0" applyAlignment="0" applyProtection="0"/>
    <xf numFmtId="0" fontId="5" fillId="0" borderId="0"/>
    <xf numFmtId="0" fontId="5"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3" fillId="0" borderId="0"/>
    <xf numFmtId="0" fontId="3" fillId="0" borderId="0"/>
    <xf numFmtId="0" fontId="9" fillId="0" borderId="0"/>
    <xf numFmtId="0" fontId="9" fillId="0" borderId="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31" fillId="0" borderId="0" applyFont="0" applyFill="0" applyBorder="0" applyAlignment="0" applyProtection="0"/>
    <xf numFmtId="0" fontId="2" fillId="0" borderId="0"/>
    <xf numFmtId="0" fontId="2" fillId="0" borderId="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1" fillId="0" borderId="0" applyFont="0" applyFill="0" applyBorder="0" applyAlignment="0" applyProtection="0"/>
    <xf numFmtId="10" fontId="22" fillId="3" borderId="26"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90" fillId="0" borderId="0" applyFont="0" applyFill="0" applyBorder="0" applyAlignment="0" applyProtection="0"/>
  </cellStyleXfs>
  <cellXfs count="1092">
    <xf numFmtId="0" fontId="0" fillId="0" borderId="0" xfId="0"/>
    <xf numFmtId="0" fontId="10" fillId="0" borderId="0" xfId="0" applyFont="1"/>
    <xf numFmtId="0" fontId="11" fillId="0" borderId="0" xfId="0" applyFont="1" applyAlignment="1">
      <alignment horizontal="centerContinuous"/>
    </xf>
    <xf numFmtId="0" fontId="10" fillId="0" borderId="0" xfId="14" applyFont="1">
      <alignment vertical="center"/>
    </xf>
    <xf numFmtId="0" fontId="10" fillId="0" borderId="4" xfId="14" applyFont="1" applyBorder="1">
      <alignment vertical="center"/>
    </xf>
    <xf numFmtId="0" fontId="11" fillId="0" borderId="0" xfId="14" applyFont="1" applyAlignment="1">
      <alignment horizontal="right"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0" fontId="10" fillId="0" borderId="0" xfId="0" applyFont="1" applyAlignment="1">
      <alignment vertical="top"/>
    </xf>
    <xf numFmtId="0" fontId="10" fillId="0" borderId="4" xfId="0" applyFont="1" applyBorder="1" applyAlignment="1">
      <alignment vertical="top"/>
    </xf>
    <xf numFmtId="0" fontId="10" fillId="0" borderId="4" xfId="0" applyFont="1" applyBorder="1"/>
    <xf numFmtId="0" fontId="15" fillId="0" borderId="0" xfId="0" applyFont="1" applyAlignment="1">
      <alignment horizontal="left"/>
    </xf>
    <xf numFmtId="0" fontId="11" fillId="0" borderId="4" xfId="0" applyFont="1" applyBorder="1" applyAlignment="1">
      <alignment vertical="top"/>
    </xf>
    <xf numFmtId="0" fontId="10" fillId="0" borderId="4" xfId="0" applyFont="1" applyBorder="1" applyAlignment="1">
      <alignment horizontal="left" vertical="top" wrapText="1"/>
    </xf>
    <xf numFmtId="0" fontId="10" fillId="0" borderId="0" xfId="0" applyFont="1" applyAlignment="1">
      <alignment horizontal="centerContinuous"/>
    </xf>
    <xf numFmtId="0" fontId="11" fillId="0" borderId="0" xfId="14" applyFont="1">
      <alignment vertical="center"/>
    </xf>
    <xf numFmtId="0" fontId="10" fillId="0" borderId="0" xfId="15" applyFont="1">
      <alignment vertical="center"/>
    </xf>
    <xf numFmtId="0" fontId="10" fillId="0" borderId="0" xfId="15" applyFont="1" applyAlignment="1">
      <alignment horizontal="centerContinuous" vertical="center"/>
    </xf>
    <xf numFmtId="0" fontId="10" fillId="0" borderId="0" xfId="10" applyFont="1"/>
    <xf numFmtId="0" fontId="10" fillId="0" borderId="0" xfId="10" applyFont="1" applyAlignment="1">
      <alignment horizontal="centerContinuous"/>
    </xf>
    <xf numFmtId="0" fontId="11" fillId="0" borderId="0" xfId="10" applyFont="1" applyAlignment="1">
      <alignment horizontal="centerContinuous"/>
    </xf>
    <xf numFmtId="0" fontId="11" fillId="0" borderId="0" xfId="15" applyFont="1" applyAlignment="1">
      <alignment horizontal="right" vertical="center"/>
    </xf>
    <xf numFmtId="0" fontId="11" fillId="0" borderId="0" xfId="15" applyFont="1">
      <alignment vertical="center"/>
    </xf>
    <xf numFmtId="0" fontId="10" fillId="0" borderId="4" xfId="15" applyFont="1" applyBorder="1">
      <alignment vertical="center"/>
    </xf>
    <xf numFmtId="0" fontId="11" fillId="6" borderId="0" xfId="15" applyFont="1" applyFill="1" applyAlignment="1">
      <alignment horizontal="center" vertical="center" wrapText="1"/>
    </xf>
    <xf numFmtId="0" fontId="10" fillId="6" borderId="0" xfId="15" applyFont="1" applyFill="1">
      <alignment vertical="center"/>
    </xf>
    <xf numFmtId="0" fontId="10" fillId="5" borderId="4" xfId="10" applyFont="1" applyFill="1" applyBorder="1" applyAlignment="1">
      <alignment horizontal="left"/>
    </xf>
    <xf numFmtId="0" fontId="11" fillId="5" borderId="4" xfId="10" applyFont="1" applyFill="1" applyBorder="1" applyAlignment="1">
      <alignment horizontal="left"/>
    </xf>
    <xf numFmtId="0" fontId="11" fillId="0" borderId="4" xfId="15" applyFont="1" applyBorder="1">
      <alignment vertical="center"/>
    </xf>
    <xf numFmtId="0" fontId="10" fillId="0" borderId="4" xfId="10" applyFont="1" applyBorder="1"/>
    <xf numFmtId="0" fontId="10" fillId="5" borderId="4" xfId="10" quotePrefix="1" applyFont="1" applyFill="1" applyBorder="1" applyAlignment="1">
      <alignment horizontal="left" vertical="top" wrapText="1"/>
    </xf>
    <xf numFmtId="0" fontId="10" fillId="0" borderId="4" xfId="10" applyFont="1" applyBorder="1" applyAlignment="1">
      <alignment horizontal="left"/>
    </xf>
    <xf numFmtId="0" fontId="10" fillId="0" borderId="4" xfId="15" applyFont="1" applyBorder="1" applyAlignment="1">
      <alignment horizontal="center" vertical="center"/>
    </xf>
    <xf numFmtId="0" fontId="10" fillId="6" borderId="4" xfId="10" applyFont="1" applyFill="1" applyBorder="1" applyAlignment="1">
      <alignment horizontal="left"/>
    </xf>
    <xf numFmtId="0" fontId="10" fillId="5" borderId="0" xfId="10" applyFont="1" applyFill="1"/>
    <xf numFmtId="0" fontId="11" fillId="0" borderId="0" xfId="10" applyFont="1"/>
    <xf numFmtId="0" fontId="10" fillId="6" borderId="0" xfId="10" applyFont="1" applyFill="1" applyAlignment="1">
      <alignment horizontal="left"/>
    </xf>
    <xf numFmtId="0" fontId="10" fillId="6" borderId="0" xfId="10" applyFont="1" applyFill="1" applyAlignment="1">
      <alignment horizontal="centerContinuous"/>
    </xf>
    <xf numFmtId="0" fontId="11" fillId="0" borderId="0" xfId="10" applyFont="1" applyAlignment="1">
      <alignment horizontal="left"/>
    </xf>
    <xf numFmtId="0" fontId="11" fillId="0" borderId="0" xfId="10" applyFont="1" applyAlignment="1">
      <alignment horizontal="right"/>
    </xf>
    <xf numFmtId="0" fontId="10" fillId="0" borderId="0" xfId="10" applyFont="1" applyAlignment="1">
      <alignment vertical="top"/>
    </xf>
    <xf numFmtId="0" fontId="11" fillId="0" borderId="4" xfId="10" applyFont="1" applyBorder="1"/>
    <xf numFmtId="0" fontId="15" fillId="0" borderId="0" xfId="10" applyFont="1" applyAlignment="1">
      <alignment horizontal="left"/>
    </xf>
    <xf numFmtId="0" fontId="11" fillId="0" borderId="4" xfId="15" applyFont="1" applyBorder="1" applyAlignment="1">
      <alignment horizontal="center" vertical="center"/>
    </xf>
    <xf numFmtId="0" fontId="10" fillId="0" borderId="0" xfId="10" applyFont="1" applyAlignment="1">
      <alignment vertical="center"/>
    </xf>
    <xf numFmtId="0" fontId="10" fillId="0" borderId="4" xfId="10" applyFont="1" applyBorder="1" applyAlignment="1">
      <alignment horizontal="center" vertical="top"/>
    </xf>
    <xf numFmtId="0" fontId="10" fillId="0" borderId="4" xfId="10" applyFont="1" applyBorder="1" applyAlignment="1">
      <alignment vertical="top"/>
    </xf>
    <xf numFmtId="0" fontId="14" fillId="0" borderId="4" xfId="10" applyFont="1" applyBorder="1"/>
    <xf numFmtId="0" fontId="15" fillId="0" borderId="4" xfId="10" applyFont="1" applyBorder="1" applyAlignment="1">
      <alignment horizontal="left"/>
    </xf>
    <xf numFmtId="0" fontId="11" fillId="0" borderId="4" xfId="10" applyFont="1" applyBorder="1" applyAlignment="1">
      <alignment horizontal="left" vertical="top"/>
    </xf>
    <xf numFmtId="0" fontId="10" fillId="0" borderId="4" xfId="14" applyFont="1" applyBorder="1" applyAlignment="1">
      <alignment horizontal="center" vertical="center"/>
    </xf>
    <xf numFmtId="0" fontId="10" fillId="0" borderId="4" xfId="14" applyFont="1" applyBorder="1" applyAlignment="1">
      <alignment vertical="top" wrapText="1"/>
    </xf>
    <xf numFmtId="0" fontId="10" fillId="0" borderId="4" xfId="14" applyFont="1" applyBorder="1" applyAlignment="1">
      <alignment horizontal="center" vertical="top" wrapText="1"/>
    </xf>
    <xf numFmtId="0" fontId="11" fillId="0" borderId="4" xfId="14" applyFont="1" applyBorder="1" applyAlignment="1">
      <alignment vertical="top" wrapText="1"/>
    </xf>
    <xf numFmtId="0" fontId="10" fillId="0" borderId="0" xfId="14" applyFont="1" applyAlignment="1">
      <alignment horizontal="center" vertical="center"/>
    </xf>
    <xf numFmtId="0" fontId="10" fillId="0" borderId="0" xfId="10" applyFont="1" applyAlignment="1">
      <alignment horizontal="center"/>
    </xf>
    <xf numFmtId="0" fontId="10" fillId="0" borderId="0" xfId="15" applyFont="1" applyAlignment="1">
      <alignment horizontal="center" vertical="center"/>
    </xf>
    <xf numFmtId="0" fontId="10" fillId="0" borderId="4" xfId="15" applyFont="1" applyBorder="1" applyAlignment="1">
      <alignment vertical="center" wrapText="1"/>
    </xf>
    <xf numFmtId="0" fontId="10" fillId="5" borderId="4" xfId="10" applyFont="1" applyFill="1" applyBorder="1" applyAlignment="1">
      <alignment horizontal="left" vertical="center" wrapText="1"/>
    </xf>
    <xf numFmtId="0" fontId="10" fillId="0" borderId="4" xfId="0" applyFont="1" applyBorder="1" applyAlignment="1">
      <alignment horizontal="center" vertical="top"/>
    </xf>
    <xf numFmtId="0" fontId="11" fillId="0" borderId="0" xfId="10" applyFont="1" applyAlignment="1">
      <alignment horizontal="center"/>
    </xf>
    <xf numFmtId="0" fontId="11" fillId="0" borderId="0" xfId="0" applyFont="1" applyAlignment="1">
      <alignment horizontal="center" vertical="center"/>
    </xf>
    <xf numFmtId="0" fontId="11" fillId="0" borderId="0" xfId="10" applyFont="1" applyAlignment="1">
      <alignment horizontal="center" vertical="center"/>
    </xf>
    <xf numFmtId="0" fontId="29" fillId="0" borderId="4" xfId="22" applyFont="1" applyBorder="1" applyAlignment="1">
      <alignment vertical="center"/>
    </xf>
    <xf numFmtId="0" fontId="29" fillId="0" borderId="4" xfId="22" applyFont="1" applyBorder="1" applyAlignment="1">
      <alignment horizontal="center" vertical="center"/>
    </xf>
    <xf numFmtId="0" fontId="30" fillId="0" borderId="4" xfId="22" applyFont="1" applyBorder="1" applyAlignment="1">
      <alignment horizontal="center" vertical="center"/>
    </xf>
    <xf numFmtId="0" fontId="10" fillId="7" borderId="4" xfId="15" applyFont="1" applyFill="1" applyBorder="1">
      <alignment vertical="center"/>
    </xf>
    <xf numFmtId="0" fontId="10" fillId="0" borderId="4" xfId="10" applyFont="1" applyBorder="1" applyAlignment="1">
      <alignment horizontal="center" vertical="center"/>
    </xf>
    <xf numFmtId="0" fontId="27" fillId="0" borderId="4" xfId="15" applyFont="1" applyBorder="1" applyAlignment="1">
      <alignment horizontal="center" vertical="center"/>
    </xf>
    <xf numFmtId="0" fontId="10" fillId="0" borderId="4" xfId="10" applyFont="1" applyBorder="1" applyAlignment="1">
      <alignment horizontal="left" vertical="center"/>
    </xf>
    <xf numFmtId="0" fontId="11" fillId="0" borderId="0" xfId="10" applyFont="1" applyAlignment="1">
      <alignment vertical="center"/>
    </xf>
    <xf numFmtId="0" fontId="11" fillId="0" borderId="4" xfId="10" applyFont="1" applyBorder="1" applyAlignment="1">
      <alignment horizontal="left" vertical="center" wrapText="1"/>
    </xf>
    <xf numFmtId="0" fontId="11" fillId="0" borderId="4" xfId="10" applyFont="1" applyBorder="1" applyAlignment="1">
      <alignment horizontal="center" vertical="center" wrapText="1"/>
    </xf>
    <xf numFmtId="0" fontId="11" fillId="0" borderId="4" xfId="10" applyFont="1" applyBorder="1" applyAlignment="1">
      <alignment horizontal="left" vertical="center"/>
    </xf>
    <xf numFmtId="0" fontId="10" fillId="0" borderId="4" xfId="10" applyFont="1" applyBorder="1" applyAlignment="1">
      <alignment horizontal="left" wrapText="1"/>
    </xf>
    <xf numFmtId="0" fontId="10" fillId="0" borderId="4" xfId="10" applyFont="1" applyBorder="1" applyAlignment="1">
      <alignment vertical="top" wrapText="1"/>
    </xf>
    <xf numFmtId="0" fontId="11" fillId="0" borderId="4" xfId="10" applyFont="1" applyBorder="1" applyAlignment="1">
      <alignment horizontal="center" vertical="top"/>
    </xf>
    <xf numFmtId="0" fontId="11" fillId="0" borderId="4" xfId="10" applyFont="1" applyBorder="1" applyAlignment="1">
      <alignment vertical="top" wrapText="1"/>
    </xf>
    <xf numFmtId="0" fontId="10" fillId="4" borderId="4" xfId="10" applyFont="1" applyFill="1" applyBorder="1" applyAlignment="1">
      <alignment horizontal="center"/>
    </xf>
    <xf numFmtId="0" fontId="11" fillId="4" borderId="4" xfId="10" applyFont="1" applyFill="1" applyBorder="1"/>
    <xf numFmtId="0" fontId="11" fillId="0" borderId="0" xfId="0" applyFont="1" applyAlignment="1">
      <alignment horizontal="center"/>
    </xf>
    <xf numFmtId="0" fontId="11" fillId="0" borderId="0" xfId="0" applyFont="1" applyAlignment="1">
      <alignment vertical="center"/>
    </xf>
    <xf numFmtId="0" fontId="11" fillId="0" borderId="4" xfId="14" applyFont="1" applyBorder="1" applyAlignment="1">
      <alignment horizontal="center" vertical="center"/>
    </xf>
    <xf numFmtId="0" fontId="10" fillId="0" borderId="0" xfId="15" applyFont="1" applyAlignment="1">
      <alignment horizontal="left" vertical="center"/>
    </xf>
    <xf numFmtId="0" fontId="10" fillId="0" borderId="0" xfId="15" applyFont="1" applyAlignment="1">
      <alignment vertical="center" wrapText="1"/>
    </xf>
    <xf numFmtId="0" fontId="10" fillId="0" borderId="0" xfId="0" applyFont="1" applyAlignment="1">
      <alignment horizontal="center" vertical="center"/>
    </xf>
    <xf numFmtId="0" fontId="11" fillId="0" borderId="0" xfId="10" applyFont="1" applyAlignment="1">
      <alignment vertical="top"/>
    </xf>
    <xf numFmtId="0" fontId="11" fillId="0" borderId="0" xfId="0" applyFont="1" applyAlignment="1">
      <alignment horizontal="center" vertical="top"/>
    </xf>
    <xf numFmtId="0" fontId="10" fillId="0" borderId="4" xfId="17" applyFont="1" applyBorder="1" applyAlignment="1">
      <alignment horizontal="center" vertical="center"/>
    </xf>
    <xf numFmtId="0" fontId="10" fillId="0" borderId="4" xfId="16" applyFont="1" applyBorder="1">
      <alignment vertical="center"/>
    </xf>
    <xf numFmtId="0" fontId="10" fillId="0" borderId="4" xfId="16" applyFont="1" applyBorder="1" applyAlignment="1">
      <alignment vertical="top" wrapText="1"/>
    </xf>
    <xf numFmtId="0" fontId="11" fillId="0" borderId="4" xfId="17" applyFont="1" applyBorder="1" applyAlignment="1">
      <alignment horizontal="center" vertical="center"/>
    </xf>
    <xf numFmtId="0" fontId="11" fillId="0" borderId="4" xfId="16" applyFont="1" applyBorder="1">
      <alignment vertical="center"/>
    </xf>
    <xf numFmtId="0" fontId="11" fillId="0" borderId="4" xfId="15" applyFont="1" applyBorder="1" applyAlignment="1">
      <alignment horizontal="center" vertical="top" wrapText="1"/>
    </xf>
    <xf numFmtId="0" fontId="11" fillId="0" borderId="4" xfId="17" applyFont="1" applyBorder="1">
      <alignment vertical="center"/>
    </xf>
    <xf numFmtId="0" fontId="11" fillId="0" borderId="4" xfId="15" applyFont="1" applyBorder="1" applyAlignment="1">
      <alignment vertical="top"/>
    </xf>
    <xf numFmtId="0" fontId="10" fillId="0" borderId="4" xfId="15" applyFont="1" applyBorder="1" applyAlignment="1">
      <alignment horizontal="center" vertical="top" wrapText="1"/>
    </xf>
    <xf numFmtId="0" fontId="10" fillId="0" borderId="4" xfId="15" applyFont="1" applyBorder="1" applyAlignment="1">
      <alignment vertical="top" wrapText="1"/>
    </xf>
    <xf numFmtId="0" fontId="11" fillId="0" borderId="4" xfId="15" applyFont="1" applyBorder="1" applyAlignment="1">
      <alignment vertical="top" wrapText="1"/>
    </xf>
    <xf numFmtId="0" fontId="11" fillId="0" borderId="0" xfId="15" applyFont="1" applyAlignment="1">
      <alignment horizontal="center" vertical="top" wrapText="1"/>
    </xf>
    <xf numFmtId="0" fontId="11" fillId="0" borderId="0" xfId="15" applyFont="1" applyAlignment="1">
      <alignment vertical="top" wrapText="1"/>
    </xf>
    <xf numFmtId="0" fontId="10" fillId="0" borderId="0" xfId="0" applyFont="1" applyAlignment="1">
      <alignment horizontal="left"/>
    </xf>
    <xf numFmtId="0" fontId="10" fillId="0" borderId="4" xfId="10" applyFont="1" applyBorder="1" applyAlignment="1">
      <alignment vertical="center"/>
    </xf>
    <xf numFmtId="0" fontId="10" fillId="0" borderId="4" xfId="10" applyFont="1" applyBorder="1" applyAlignment="1">
      <alignment horizontal="left" vertical="center" wrapText="1"/>
    </xf>
    <xf numFmtId="0" fontId="10" fillId="9" borderId="4" xfId="15" applyFont="1" applyFill="1" applyBorder="1" applyAlignment="1">
      <alignment horizontal="center" vertical="center"/>
    </xf>
    <xf numFmtId="0" fontId="10" fillId="9" borderId="4" xfId="15" applyFont="1" applyFill="1" applyBorder="1">
      <alignment vertical="center"/>
    </xf>
    <xf numFmtId="0" fontId="10" fillId="5" borderId="0" xfId="10" quotePrefix="1" applyFont="1" applyFill="1" applyAlignment="1">
      <alignment horizontal="left" vertical="top" wrapText="1"/>
    </xf>
    <xf numFmtId="0" fontId="11" fillId="5" borderId="0" xfId="10" applyFont="1" applyFill="1" applyAlignment="1">
      <alignment vertical="center"/>
    </xf>
    <xf numFmtId="167" fontId="10" fillId="0" borderId="0" xfId="10" applyNumberFormat="1" applyFont="1"/>
    <xf numFmtId="0" fontId="11" fillId="0" borderId="0" xfId="15" applyFont="1" applyAlignment="1">
      <alignment horizontal="center" vertical="center"/>
    </xf>
    <xf numFmtId="0" fontId="11" fillId="0" borderId="0" xfId="53" applyFont="1" applyAlignment="1">
      <alignment horizontal="left"/>
    </xf>
    <xf numFmtId="0" fontId="10" fillId="0" borderId="0" xfId="53" applyFont="1"/>
    <xf numFmtId="0" fontId="11" fillId="0" borderId="0" xfId="53" applyFont="1" applyAlignment="1">
      <alignment horizontal="center" vertical="center"/>
    </xf>
    <xf numFmtId="0" fontId="11" fillId="0" borderId="0" xfId="54" applyFont="1" applyAlignment="1">
      <alignment horizontal="right" vertical="center"/>
    </xf>
    <xf numFmtId="0" fontId="10" fillId="0" borderId="0" xfId="54" applyFont="1">
      <alignment vertical="center"/>
    </xf>
    <xf numFmtId="0" fontId="10" fillId="0" borderId="4" xfId="53" applyFont="1" applyBorder="1" applyAlignment="1">
      <alignment horizontal="center" vertical="center"/>
    </xf>
    <xf numFmtId="0" fontId="10" fillId="0" borderId="4" xfId="53" applyFont="1" applyBorder="1" applyAlignment="1">
      <alignment vertical="center"/>
    </xf>
    <xf numFmtId="0" fontId="27" fillId="0" borderId="4" xfId="54" applyFont="1" applyBorder="1" applyAlignment="1">
      <alignment horizontal="center" vertical="center"/>
    </xf>
    <xf numFmtId="0" fontId="10" fillId="0" borderId="0" xfId="53" applyFont="1" applyAlignment="1">
      <alignment vertical="center"/>
    </xf>
    <xf numFmtId="0" fontId="10" fillId="0" borderId="4" xfId="53" applyFont="1" applyBorder="1" applyAlignment="1">
      <alignment horizontal="left" vertical="center"/>
    </xf>
    <xf numFmtId="0" fontId="27" fillId="0" borderId="4" xfId="54" applyFont="1" applyBorder="1">
      <alignment vertical="center"/>
    </xf>
    <xf numFmtId="0" fontId="11" fillId="0" borderId="0" xfId="53" applyFont="1" applyAlignment="1">
      <alignment vertical="center"/>
    </xf>
    <xf numFmtId="0" fontId="10" fillId="0" borderId="0" xfId="53" applyFont="1" applyAlignment="1">
      <alignment horizontal="center" vertical="center"/>
    </xf>
    <xf numFmtId="0" fontId="11" fillId="0" borderId="0" xfId="53" applyFont="1" applyAlignment="1">
      <alignment horizontal="left" vertical="center" wrapText="1"/>
    </xf>
    <xf numFmtId="0" fontId="11" fillId="0" borderId="0" xfId="53" applyFont="1" applyAlignment="1">
      <alignment horizontal="center" vertical="center" wrapText="1"/>
    </xf>
    <xf numFmtId="0" fontId="11" fillId="0" borderId="0" xfId="53" applyFont="1" applyAlignment="1">
      <alignment horizontal="left" vertical="center"/>
    </xf>
    <xf numFmtId="0" fontId="11" fillId="0" borderId="0" xfId="54" applyFont="1">
      <alignment vertical="center"/>
    </xf>
    <xf numFmtId="0" fontId="10" fillId="0" borderId="0" xfId="53" applyFont="1" applyAlignment="1">
      <alignment horizontal="centerContinuous"/>
    </xf>
    <xf numFmtId="0" fontId="11" fillId="5" borderId="0" xfId="53" applyFont="1" applyFill="1" applyAlignment="1">
      <alignment vertical="center" wrapText="1"/>
    </xf>
    <xf numFmtId="0" fontId="11" fillId="5" borderId="0" xfId="53" applyFont="1" applyFill="1" applyAlignment="1">
      <alignment horizontal="center" vertical="center"/>
    </xf>
    <xf numFmtId="0" fontId="11" fillId="5" borderId="0" xfId="53" applyFont="1" applyFill="1" applyAlignment="1">
      <alignment horizontal="center"/>
    </xf>
    <xf numFmtId="0" fontId="11" fillId="0" borderId="0" xfId="53" applyFont="1" applyAlignment="1">
      <alignment horizontal="centerContinuous"/>
    </xf>
    <xf numFmtId="0" fontId="11" fillId="5" borderId="0" xfId="53" applyFont="1" applyFill="1" applyAlignment="1">
      <alignment horizontal="left"/>
    </xf>
    <xf numFmtId="0" fontId="11" fillId="0" borderId="0" xfId="53" applyFont="1" applyAlignment="1">
      <alignment horizontal="center"/>
    </xf>
    <xf numFmtId="0" fontId="11" fillId="0" borderId="4" xfId="53" applyFont="1" applyBorder="1"/>
    <xf numFmtId="0" fontId="10" fillId="0" borderId="4" xfId="53" applyFont="1" applyBorder="1"/>
    <xf numFmtId="0" fontId="11" fillId="0" borderId="4" xfId="53" applyFont="1" applyBorder="1" applyAlignment="1">
      <alignment horizontal="left"/>
    </xf>
    <xf numFmtId="0" fontId="26" fillId="0" borderId="4" xfId="53" applyFont="1" applyBorder="1"/>
    <xf numFmtId="0" fontId="10" fillId="0" borderId="4" xfId="53" applyFont="1" applyBorder="1" applyAlignment="1">
      <alignment horizontal="left"/>
    </xf>
    <xf numFmtId="0" fontId="10" fillId="8" borderId="4" xfId="53" applyFont="1" applyFill="1" applyBorder="1"/>
    <xf numFmtId="0" fontId="11" fillId="0" borderId="0" xfId="60" applyFont="1" applyAlignment="1">
      <alignment vertical="center" wrapText="1"/>
    </xf>
    <xf numFmtId="0" fontId="11" fillId="0" borderId="0" xfId="60" applyFont="1" applyAlignment="1">
      <alignment horizontal="center" vertical="center"/>
    </xf>
    <xf numFmtId="0" fontId="11" fillId="0" borderId="0" xfId="53" applyFont="1" applyAlignment="1">
      <alignment vertical="center" wrapText="1"/>
    </xf>
    <xf numFmtId="0" fontId="11" fillId="0" borderId="0" xfId="53" applyFont="1" applyAlignment="1">
      <alignment horizontal="center" vertical="top"/>
    </xf>
    <xf numFmtId="0" fontId="10" fillId="0" borderId="0" xfId="53" applyFont="1" applyAlignment="1">
      <alignment horizontal="center"/>
    </xf>
    <xf numFmtId="0" fontId="10" fillId="5" borderId="0" xfId="53" applyFont="1" applyFill="1" applyAlignment="1">
      <alignment horizontal="center"/>
    </xf>
    <xf numFmtId="0" fontId="11" fillId="6" borderId="0" xfId="53" applyFont="1" applyFill="1" applyAlignment="1">
      <alignment horizontal="center"/>
    </xf>
    <xf numFmtId="0" fontId="11" fillId="8" borderId="4" xfId="53" applyFont="1" applyFill="1" applyBorder="1"/>
    <xf numFmtId="0" fontId="11" fillId="5" borderId="0" xfId="53" applyFont="1" applyFill="1" applyAlignment="1">
      <alignment horizontal="center" vertical="center" wrapText="1"/>
    </xf>
    <xf numFmtId="0" fontId="11" fillId="4" borderId="4" xfId="15" applyFont="1" applyFill="1" applyBorder="1" applyAlignment="1">
      <alignment horizontal="center" vertical="center" wrapText="1"/>
    </xf>
    <xf numFmtId="0" fontId="11" fillId="4" borderId="4" xfId="15" applyFont="1" applyFill="1" applyBorder="1" applyAlignment="1">
      <alignment horizontal="center" vertical="center"/>
    </xf>
    <xf numFmtId="0" fontId="11" fillId="4" borderId="4" xfId="53" applyFont="1" applyFill="1" applyBorder="1" applyAlignment="1">
      <alignment horizontal="center" vertical="center" wrapText="1"/>
    </xf>
    <xf numFmtId="0" fontId="27" fillId="0" borderId="0" xfId="10" applyFont="1" applyAlignment="1">
      <alignment vertical="center"/>
    </xf>
    <xf numFmtId="0" fontId="27" fillId="0" borderId="0" xfId="0" applyFont="1"/>
    <xf numFmtId="0" fontId="11" fillId="5" borderId="4" xfId="0" applyFont="1" applyFill="1" applyBorder="1" applyAlignment="1">
      <alignment horizontal="left"/>
    </xf>
    <xf numFmtId="0" fontId="27" fillId="0" borderId="4" xfId="10" applyFont="1" applyBorder="1" applyAlignment="1">
      <alignment horizontal="center" vertical="center" wrapText="1"/>
    </xf>
    <xf numFmtId="0" fontId="10" fillId="0" borderId="0" xfId="0" applyFont="1" applyAlignment="1">
      <alignment horizontal="center"/>
    </xf>
    <xf numFmtId="0" fontId="11" fillId="0" borderId="0" xfId="0" applyFont="1" applyAlignment="1">
      <alignment vertical="top"/>
    </xf>
    <xf numFmtId="0" fontId="10" fillId="0" borderId="4" xfId="16" applyFont="1" applyBorder="1" applyAlignment="1">
      <alignment horizontal="center" vertical="center"/>
    </xf>
    <xf numFmtId="0" fontId="11" fillId="0" borderId="0" xfId="16" applyFont="1" applyAlignment="1">
      <alignment horizontal="center" vertical="center"/>
    </xf>
    <xf numFmtId="0" fontId="11" fillId="0" borderId="0" xfId="16" applyFont="1">
      <alignment vertical="center"/>
    </xf>
    <xf numFmtId="0" fontId="10" fillId="0" borderId="0" xfId="16" applyFont="1">
      <alignment vertical="center"/>
    </xf>
    <xf numFmtId="0" fontId="27" fillId="0" borderId="0" xfId="0" applyFont="1" applyAlignment="1">
      <alignment horizontal="center" vertical="center"/>
    </xf>
    <xf numFmtId="0" fontId="10" fillId="6" borderId="4" xfId="14" applyFont="1" applyFill="1" applyBorder="1">
      <alignment vertical="center"/>
    </xf>
    <xf numFmtId="0" fontId="10" fillId="6" borderId="4" xfId="14" applyFont="1" applyFill="1" applyBorder="1" applyAlignment="1">
      <alignment horizontal="left" vertical="center"/>
    </xf>
    <xf numFmtId="0" fontId="10" fillId="0" borderId="4" xfId="54" applyFont="1" applyBorder="1">
      <alignment vertical="center"/>
    </xf>
    <xf numFmtId="0" fontId="10" fillId="6" borderId="4" xfId="14" applyFont="1" applyFill="1" applyBorder="1" applyAlignment="1">
      <alignment vertical="top" wrapText="1"/>
    </xf>
    <xf numFmtId="0" fontId="27" fillId="0" borderId="0" xfId="53" applyFont="1" applyAlignment="1">
      <alignment vertical="center"/>
    </xf>
    <xf numFmtId="0" fontId="27" fillId="0" borderId="0" xfId="53" applyFont="1" applyAlignment="1">
      <alignment horizontal="center" vertical="center"/>
    </xf>
    <xf numFmtId="0" fontId="27" fillId="0" borderId="4" xfId="53" applyFont="1" applyBorder="1" applyAlignment="1">
      <alignment horizontal="center" vertical="center" wrapText="1"/>
    </xf>
    <xf numFmtId="0" fontId="11" fillId="0" borderId="0" xfId="60" applyFont="1" applyAlignment="1">
      <alignment horizontal="center" vertical="center" wrapText="1"/>
    </xf>
    <xf numFmtId="0" fontId="11" fillId="0" borderId="0" xfId="53" applyFont="1"/>
    <xf numFmtId="0" fontId="11" fillId="0" borderId="0" xfId="15" applyFont="1" applyAlignment="1">
      <alignment horizontal="left" vertical="center"/>
    </xf>
    <xf numFmtId="0" fontId="34" fillId="6" borderId="4" xfId="13" applyFont="1" applyFill="1" applyBorder="1"/>
    <xf numFmtId="0" fontId="10" fillId="0" borderId="4" xfId="0" applyFont="1" applyBorder="1" applyAlignment="1">
      <alignment vertical="top" wrapText="1"/>
    </xf>
    <xf numFmtId="0" fontId="11" fillId="0" borderId="4" xfId="0" applyFont="1" applyBorder="1" applyAlignment="1">
      <alignment horizontal="center"/>
    </xf>
    <xf numFmtId="0" fontId="11" fillId="0" borderId="4" xfId="0" applyFont="1" applyBorder="1" applyAlignment="1">
      <alignment vertical="top" wrapText="1"/>
    </xf>
    <xf numFmtId="0" fontId="11" fillId="0" borderId="4" xfId="0" applyFont="1" applyBorder="1" applyAlignment="1">
      <alignment horizontal="left" vertical="top" wrapText="1"/>
    </xf>
    <xf numFmtId="0" fontId="27" fillId="0" borderId="0" xfId="0" applyFont="1" applyAlignment="1">
      <alignment vertical="center"/>
    </xf>
    <xf numFmtId="0" fontId="11" fillId="0" borderId="0" xfId="14" applyFont="1" applyAlignment="1">
      <alignment vertical="center" wrapText="1"/>
    </xf>
    <xf numFmtId="0" fontId="11" fillId="0" borderId="0" xfId="14" applyFont="1" applyAlignment="1">
      <alignment horizontal="center" vertical="center"/>
    </xf>
    <xf numFmtId="0" fontId="11" fillId="7" borderId="5" xfId="0" applyFont="1" applyFill="1" applyBorder="1" applyAlignment="1">
      <alignment horizontal="center" vertical="center" wrapText="1"/>
    </xf>
    <xf numFmtId="0" fontId="11" fillId="7" borderId="5" xfId="0" applyFont="1" applyFill="1" applyBorder="1" applyAlignment="1">
      <alignment horizontal="center" vertical="center"/>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2" fontId="10" fillId="0" borderId="4" xfId="0" applyNumberFormat="1"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xf>
    <xf numFmtId="2" fontId="10" fillId="0" borderId="4" xfId="0" applyNumberFormat="1" applyFont="1" applyBorder="1" applyAlignment="1">
      <alignment horizontal="right" vertical="center"/>
    </xf>
    <xf numFmtId="2" fontId="11" fillId="0" borderId="4" xfId="0" applyNumberFormat="1" applyFont="1" applyBorder="1" applyAlignment="1">
      <alignment horizontal="right" vertical="center"/>
    </xf>
    <xf numFmtId="0" fontId="11" fillId="7"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1" fillId="0" borderId="4" xfId="16" applyFont="1" applyBorder="1" applyAlignment="1">
      <alignment horizontal="center" vertical="center"/>
    </xf>
    <xf numFmtId="0" fontId="11" fillId="0" borderId="4" xfId="16" applyFont="1" applyBorder="1" applyAlignment="1">
      <alignment vertical="top" wrapText="1"/>
    </xf>
    <xf numFmtId="0" fontId="11" fillId="4" borderId="4" xfId="54" applyFont="1" applyFill="1" applyBorder="1" applyAlignment="1">
      <alignment horizontal="center" vertical="center" wrapText="1"/>
    </xf>
    <xf numFmtId="0" fontId="11" fillId="4" borderId="9" xfId="54" applyFont="1" applyFill="1" applyBorder="1" applyAlignment="1">
      <alignment horizontal="center" vertical="center" wrapText="1"/>
    </xf>
    <xf numFmtId="0" fontId="11" fillId="0" borderId="0" xfId="62" applyFont="1" applyAlignment="1">
      <alignment horizontal="left"/>
    </xf>
    <xf numFmtId="0" fontId="10" fillId="0" borderId="0" xfId="62" applyFont="1"/>
    <xf numFmtId="0" fontId="11" fillId="7" borderId="4" xfId="54" applyFont="1" applyFill="1" applyBorder="1" applyAlignment="1">
      <alignment horizontal="center" vertical="center" wrapText="1"/>
    </xf>
    <xf numFmtId="0" fontId="10" fillId="0" borderId="4" xfId="62" applyFont="1" applyBorder="1" applyAlignment="1">
      <alignment horizontal="center" vertical="center"/>
    </xf>
    <xf numFmtId="0" fontId="10" fillId="0" borderId="4" xfId="62" applyFont="1" applyBorder="1"/>
    <xf numFmtId="0" fontId="10" fillId="0" borderId="4" xfId="62" applyFont="1" applyBorder="1" applyAlignment="1">
      <alignment horizontal="center"/>
    </xf>
    <xf numFmtId="0" fontId="11" fillId="7" borderId="4" xfId="62" applyFont="1" applyFill="1" applyBorder="1" applyAlignment="1">
      <alignment horizontal="center" vertical="center"/>
    </xf>
    <xf numFmtId="0" fontId="11" fillId="7" borderId="0" xfId="62" applyFont="1" applyFill="1" applyAlignment="1">
      <alignment horizontal="center" vertical="center"/>
    </xf>
    <xf numFmtId="0" fontId="11" fillId="0" borderId="4" xfId="62" applyFont="1" applyBorder="1"/>
    <xf numFmtId="0" fontId="11" fillId="0" borderId="4" xfId="62" applyFont="1" applyBorder="1" applyAlignment="1">
      <alignment horizontal="left"/>
    </xf>
    <xf numFmtId="0" fontId="26" fillId="0" borderId="4" xfId="62" applyFont="1" applyBorder="1"/>
    <xf numFmtId="0" fontId="10" fillId="0" borderId="4" xfId="62" applyFont="1" applyBorder="1" applyAlignment="1">
      <alignment horizontal="left"/>
    </xf>
    <xf numFmtId="0" fontId="36" fillId="8" borderId="4" xfId="62" applyFont="1" applyFill="1" applyBorder="1"/>
    <xf numFmtId="0" fontId="11" fillId="4" borderId="4" xfId="62" applyFont="1" applyFill="1" applyBorder="1" applyAlignment="1">
      <alignment horizontal="center" vertical="center" wrapText="1"/>
    </xf>
    <xf numFmtId="0" fontId="11" fillId="4" borderId="4" xfId="62" quotePrefix="1" applyFont="1" applyFill="1" applyBorder="1" applyAlignment="1">
      <alignment horizontal="center" vertical="center" wrapText="1"/>
    </xf>
    <xf numFmtId="0" fontId="11" fillId="4" borderId="6" xfId="54" applyFont="1" applyFill="1" applyBorder="1" applyAlignment="1">
      <alignment horizontal="center" vertical="center" wrapText="1"/>
    </xf>
    <xf numFmtId="0" fontId="10" fillId="7" borderId="4" xfId="15" applyFont="1" applyFill="1" applyBorder="1" applyAlignment="1">
      <alignment horizontal="center" vertical="center"/>
    </xf>
    <xf numFmtId="0" fontId="11" fillId="0" borderId="6" xfId="15" applyFont="1" applyBorder="1" applyAlignment="1">
      <alignment horizontal="center" vertical="center" wrapText="1"/>
    </xf>
    <xf numFmtId="0" fontId="11" fillId="0" borderId="4" xfId="54" applyFont="1" applyBorder="1" applyAlignment="1">
      <alignment horizontal="center" vertical="center" wrapText="1"/>
    </xf>
    <xf numFmtId="0" fontId="12" fillId="0" borderId="0" xfId="62" applyFont="1" applyAlignment="1">
      <alignment vertical="center" wrapText="1"/>
    </xf>
    <xf numFmtId="0" fontId="10" fillId="0" borderId="4" xfId="54" applyFont="1" applyBorder="1" applyAlignment="1">
      <alignment horizontal="center" vertical="center"/>
    </xf>
    <xf numFmtId="0" fontId="10" fillId="0" borderId="4" xfId="54" applyFont="1" applyBorder="1" applyAlignment="1">
      <alignment horizontal="center" vertical="top" wrapText="1"/>
    </xf>
    <xf numFmtId="0" fontId="10" fillId="0" borderId="4" xfId="54" applyFont="1" applyBorder="1" applyAlignment="1">
      <alignment vertical="top" wrapText="1"/>
    </xf>
    <xf numFmtId="0" fontId="10" fillId="0" borderId="4" xfId="54" applyFont="1" applyBorder="1" applyAlignment="1">
      <alignment horizontal="center" vertical="center" wrapText="1"/>
    </xf>
    <xf numFmtId="0" fontId="10" fillId="5" borderId="4" xfId="62" applyFont="1" applyFill="1" applyBorder="1" applyAlignment="1">
      <alignment horizontal="left" wrapText="1"/>
    </xf>
    <xf numFmtId="0" fontId="11" fillId="0" borderId="4" xfId="54" applyFont="1" applyBorder="1" applyAlignment="1">
      <alignment vertical="top" wrapText="1"/>
    </xf>
    <xf numFmtId="0" fontId="11" fillId="0" borderId="0" xfId="62" applyFont="1"/>
    <xf numFmtId="0" fontId="11" fillId="0" borderId="0" xfId="62" applyFont="1" applyAlignment="1">
      <alignment horizontal="center"/>
    </xf>
    <xf numFmtId="0" fontId="11" fillId="0" borderId="0" xfId="62" applyFont="1" applyAlignment="1">
      <alignment vertical="top"/>
    </xf>
    <xf numFmtId="0" fontId="11" fillId="0" borderId="0" xfId="62" applyFont="1" applyAlignment="1">
      <alignment horizontal="centerContinuous" vertical="top"/>
    </xf>
    <xf numFmtId="0" fontId="11" fillId="0" borderId="0" xfId="62" applyFont="1" applyAlignment="1">
      <alignment horizontal="centerContinuous"/>
    </xf>
    <xf numFmtId="0" fontId="11" fillId="0" borderId="0" xfId="62" applyFont="1" applyAlignment="1">
      <alignment horizontal="right"/>
    </xf>
    <xf numFmtId="0" fontId="11" fillId="0" borderId="0" xfId="54" applyFont="1" applyAlignment="1">
      <alignment horizontal="center" vertical="center" wrapText="1"/>
    </xf>
    <xf numFmtId="0" fontId="11" fillId="0" borderId="5" xfId="62" applyFont="1" applyBorder="1" applyAlignment="1">
      <alignment horizontal="left"/>
    </xf>
    <xf numFmtId="0" fontId="11" fillId="0" borderId="4" xfId="62" applyFont="1" applyBorder="1" applyAlignment="1">
      <alignment vertical="top"/>
    </xf>
    <xf numFmtId="0" fontId="10" fillId="0" borderId="7" xfId="62" applyFont="1" applyBorder="1" applyAlignment="1">
      <alignment horizontal="left"/>
    </xf>
    <xf numFmtId="0" fontId="11" fillId="0" borderId="7" xfId="62" applyFont="1" applyBorder="1" applyAlignment="1">
      <alignment horizontal="left"/>
    </xf>
    <xf numFmtId="0" fontId="10" fillId="0" borderId="4" xfId="62" applyFont="1" applyBorder="1" applyAlignment="1">
      <alignment horizontal="left" vertical="top" wrapText="1"/>
    </xf>
    <xf numFmtId="0" fontId="10" fillId="0" borderId="6" xfId="62" applyFont="1" applyBorder="1" applyAlignment="1">
      <alignment horizontal="left" vertical="top" wrapText="1"/>
    </xf>
    <xf numFmtId="0" fontId="11" fillId="0" borderId="4" xfId="62" applyFont="1" applyBorder="1" applyAlignment="1">
      <alignment horizontal="left" vertical="top"/>
    </xf>
    <xf numFmtId="0" fontId="13" fillId="0" borderId="4" xfId="62" applyFont="1" applyBorder="1"/>
    <xf numFmtId="0" fontId="15" fillId="0" borderId="0" xfId="62" applyFont="1" applyAlignment="1">
      <alignment horizontal="left"/>
    </xf>
    <xf numFmtId="0" fontId="38" fillId="0" borderId="0" xfId="62" applyFont="1" applyAlignment="1">
      <alignment horizontal="left"/>
    </xf>
    <xf numFmtId="0" fontId="38" fillId="0" borderId="0" xfId="62" applyFont="1" applyAlignment="1">
      <alignment horizontal="left" vertical="center"/>
    </xf>
    <xf numFmtId="0" fontId="35" fillId="0" borderId="0" xfId="66" applyFont="1"/>
    <xf numFmtId="0" fontId="39" fillId="10" borderId="0" xfId="66" applyFont="1" applyFill="1" applyAlignment="1">
      <alignment horizontal="left"/>
    </xf>
    <xf numFmtId="0" fontId="39" fillId="11" borderId="4" xfId="66" applyFont="1" applyFill="1" applyBorder="1" applyAlignment="1">
      <alignment vertical="center"/>
    </xf>
    <xf numFmtId="0" fontId="39" fillId="11" borderId="4" xfId="66" applyFont="1" applyFill="1" applyBorder="1" applyAlignment="1">
      <alignment horizontal="left" vertical="center"/>
    </xf>
    <xf numFmtId="0" fontId="39" fillId="11" borderId="4" xfId="66" applyFont="1" applyFill="1" applyBorder="1" applyAlignment="1">
      <alignment vertical="center" wrapText="1"/>
    </xf>
    <xf numFmtId="0" fontId="39" fillId="11" borderId="4" xfId="66" applyFont="1" applyFill="1" applyBorder="1" applyAlignment="1">
      <alignment horizontal="center" vertical="center"/>
    </xf>
    <xf numFmtId="0" fontId="35" fillId="0" borderId="4" xfId="66" applyFont="1" applyBorder="1"/>
    <xf numFmtId="0" fontId="35" fillId="0" borderId="4" xfId="66" applyFont="1" applyBorder="1" applyAlignment="1">
      <alignment horizontal="left"/>
    </xf>
    <xf numFmtId="169" fontId="35" fillId="0" borderId="4" xfId="67" applyNumberFormat="1" applyFont="1" applyBorder="1"/>
    <xf numFmtId="170" fontId="35" fillId="0" borderId="4" xfId="68" applyNumberFormat="1" applyFont="1" applyBorder="1"/>
    <xf numFmtId="170" fontId="35" fillId="12" borderId="4" xfId="68" applyNumberFormat="1" applyFont="1" applyFill="1" applyBorder="1"/>
    <xf numFmtId="0" fontId="39" fillId="13" borderId="4" xfId="66" applyFont="1" applyFill="1" applyBorder="1"/>
    <xf numFmtId="0" fontId="39" fillId="13" borderId="4" xfId="66" applyFont="1" applyFill="1" applyBorder="1" applyAlignment="1">
      <alignment horizontal="left"/>
    </xf>
    <xf numFmtId="170" fontId="39" fillId="13" borderId="4" xfId="68" applyNumberFormat="1" applyFont="1" applyFill="1" applyBorder="1"/>
    <xf numFmtId="170" fontId="35" fillId="0" borderId="0" xfId="66" applyNumberFormat="1" applyFont="1"/>
    <xf numFmtId="0" fontId="35" fillId="0" borderId="0" xfId="66" applyFont="1" applyAlignment="1">
      <alignment vertical="center" wrapText="1"/>
    </xf>
    <xf numFmtId="0" fontId="39" fillId="0" borderId="0" xfId="66" applyFont="1" applyAlignment="1">
      <alignment vertical="center"/>
    </xf>
    <xf numFmtId="10" fontId="35" fillId="0" borderId="4" xfId="66" applyNumberFormat="1" applyFont="1" applyBorder="1"/>
    <xf numFmtId="10" fontId="35" fillId="6" borderId="4" xfId="66" applyNumberFormat="1" applyFont="1" applyFill="1" applyBorder="1"/>
    <xf numFmtId="166" fontId="39" fillId="13" borderId="4" xfId="68" applyFont="1" applyFill="1" applyBorder="1"/>
    <xf numFmtId="0" fontId="35" fillId="0" borderId="0" xfId="66" applyFont="1" applyAlignment="1">
      <alignment horizontal="left"/>
    </xf>
    <xf numFmtId="164" fontId="35" fillId="0" borderId="0" xfId="67" applyFont="1"/>
    <xf numFmtId="0" fontId="35" fillId="0" borderId="0" xfId="66" applyFont="1" applyAlignment="1">
      <alignment vertical="center"/>
    </xf>
    <xf numFmtId="164" fontId="35" fillId="0" borderId="4" xfId="67" applyFont="1" applyBorder="1"/>
    <xf numFmtId="0" fontId="10" fillId="0" borderId="4" xfId="62" applyFont="1" applyBorder="1" applyAlignment="1">
      <alignment wrapText="1"/>
    </xf>
    <xf numFmtId="0" fontId="11" fillId="7" borderId="4" xfId="62" applyFont="1" applyFill="1" applyBorder="1" applyAlignment="1">
      <alignment horizontal="center" vertical="center" wrapText="1"/>
    </xf>
    <xf numFmtId="0" fontId="10" fillId="6" borderId="0" xfId="53" applyFont="1" applyFill="1"/>
    <xf numFmtId="0" fontId="13" fillId="0" borderId="0" xfId="62" applyFont="1" applyAlignment="1">
      <alignment horizontal="left"/>
    </xf>
    <xf numFmtId="0" fontId="10" fillId="0" borderId="4" xfId="62" applyFont="1" applyBorder="1" applyAlignment="1">
      <alignment horizontal="center" vertical="top"/>
    </xf>
    <xf numFmtId="0" fontId="10" fillId="0" borderId="4" xfId="62" applyFont="1" applyBorder="1" applyAlignment="1">
      <alignment horizontal="left" vertical="top"/>
    </xf>
    <xf numFmtId="0" fontId="10" fillId="0" borderId="4" xfId="62" applyFont="1" applyBorder="1" applyAlignment="1">
      <alignment vertical="top"/>
    </xf>
    <xf numFmtId="0" fontId="14" fillId="0" borderId="4" xfId="62" applyFont="1" applyBorder="1"/>
    <xf numFmtId="0" fontId="15" fillId="0" borderId="4" xfId="62" applyFont="1" applyBorder="1" applyAlignment="1">
      <alignment horizontal="left"/>
    </xf>
    <xf numFmtId="0" fontId="10" fillId="6" borderId="0" xfId="54" applyFont="1" applyFill="1">
      <alignment vertical="center"/>
    </xf>
    <xf numFmtId="0" fontId="11" fillId="0" borderId="0" xfId="62" applyFont="1" applyAlignment="1">
      <alignment horizontal="left" vertical="top"/>
    </xf>
    <xf numFmtId="0" fontId="14" fillId="0" borderId="0" xfId="62" applyFont="1"/>
    <xf numFmtId="0" fontId="11" fillId="6" borderId="0" xfId="62" applyFont="1" applyFill="1" applyAlignment="1">
      <alignment horizontal="left" vertical="top"/>
    </xf>
    <xf numFmtId="0" fontId="15" fillId="6" borderId="0" xfId="62" applyFont="1" applyFill="1" applyAlignment="1">
      <alignment horizontal="left"/>
    </xf>
    <xf numFmtId="0" fontId="11" fillId="5" borderId="4" xfId="62" applyFont="1" applyFill="1" applyBorder="1" applyAlignment="1">
      <alignment vertical="top" wrapText="1"/>
    </xf>
    <xf numFmtId="0" fontId="39" fillId="0" borderId="0" xfId="66" applyFont="1"/>
    <xf numFmtId="0" fontId="39" fillId="11" borderId="4" xfId="66" applyFont="1" applyFill="1" applyBorder="1" applyAlignment="1">
      <alignment horizontal="center" vertical="center" wrapText="1"/>
    </xf>
    <xf numFmtId="170" fontId="35" fillId="6" borderId="4" xfId="68" applyNumberFormat="1" applyFont="1" applyFill="1" applyBorder="1"/>
    <xf numFmtId="170" fontId="35" fillId="14" borderId="4" xfId="68" applyNumberFormat="1" applyFont="1" applyFill="1" applyBorder="1"/>
    <xf numFmtId="164" fontId="35" fillId="0" borderId="4" xfId="69" applyFont="1" applyBorder="1" applyAlignment="1">
      <alignment vertical="center"/>
    </xf>
    <xf numFmtId="171" fontId="35" fillId="0" borderId="4" xfId="70" applyNumberFormat="1" applyFont="1" applyBorder="1"/>
    <xf numFmtId="170" fontId="35" fillId="0" borderId="4" xfId="66" applyNumberFormat="1" applyFont="1" applyBorder="1"/>
    <xf numFmtId="0" fontId="41" fillId="0" borderId="0" xfId="0" applyFont="1"/>
    <xf numFmtId="2" fontId="10" fillId="14" borderId="4" xfId="0" applyNumberFormat="1" applyFont="1" applyFill="1" applyBorder="1" applyAlignment="1">
      <alignment horizontal="center" vertical="center"/>
    </xf>
    <xf numFmtId="0" fontId="27" fillId="0" borderId="4" xfId="62" applyFont="1" applyBorder="1" applyAlignment="1">
      <alignment horizontal="center" vertical="center" wrapText="1"/>
    </xf>
    <xf numFmtId="0" fontId="10" fillId="0" borderId="4" xfId="62" applyFont="1" applyBorder="1" applyAlignment="1">
      <alignment horizontal="left" vertical="center"/>
    </xf>
    <xf numFmtId="0" fontId="11" fillId="0" borderId="4" xfId="62" applyFont="1" applyBorder="1" applyAlignment="1">
      <alignment vertical="center"/>
    </xf>
    <xf numFmtId="0" fontId="11" fillId="0" borderId="4" xfId="62" applyFont="1" applyBorder="1" applyAlignment="1">
      <alignment wrapText="1"/>
    </xf>
    <xf numFmtId="0" fontId="42" fillId="0" borderId="4" xfId="54" applyFont="1" applyBorder="1" applyAlignment="1">
      <alignment vertical="top" wrapText="1"/>
    </xf>
    <xf numFmtId="0" fontId="42" fillId="0" borderId="4" xfId="54" applyFont="1" applyBorder="1">
      <alignment vertical="center"/>
    </xf>
    <xf numFmtId="0" fontId="10" fillId="0" borderId="0" xfId="54" applyFont="1" applyAlignment="1">
      <alignment vertical="center" wrapText="1"/>
    </xf>
    <xf numFmtId="0" fontId="37" fillId="0" borderId="0" xfId="54" applyFont="1" applyAlignment="1">
      <alignment vertical="center" wrapText="1"/>
    </xf>
    <xf numFmtId="0" fontId="0" fillId="0" borderId="4" xfId="0" applyBorder="1"/>
    <xf numFmtId="0" fontId="9" fillId="0" borderId="0" xfId="0" applyFont="1"/>
    <xf numFmtId="0" fontId="9" fillId="0" borderId="4" xfId="0" applyFont="1" applyBorder="1"/>
    <xf numFmtId="0" fontId="11" fillId="0" borderId="4" xfId="54" applyFont="1" applyBorder="1" applyAlignment="1">
      <alignment horizontal="center" vertical="top" wrapText="1"/>
    </xf>
    <xf numFmtId="0" fontId="0" fillId="7" borderId="4" xfId="0" applyFill="1" applyBorder="1"/>
    <xf numFmtId="0" fontId="43" fillId="7" borderId="4" xfId="0" applyFont="1" applyFill="1" applyBorder="1"/>
    <xf numFmtId="0" fontId="43" fillId="7" borderId="4" xfId="0" applyFont="1" applyFill="1" applyBorder="1" applyAlignment="1">
      <alignment horizontal="left"/>
    </xf>
    <xf numFmtId="0" fontId="11" fillId="7" borderId="4" xfId="10" applyFont="1" applyFill="1" applyBorder="1" applyAlignment="1">
      <alignment horizontal="center" vertical="center" wrapText="1"/>
    </xf>
    <xf numFmtId="0" fontId="11" fillId="0" borderId="4" xfId="54" applyFont="1" applyBorder="1" applyAlignment="1">
      <alignment horizontal="center" vertical="center"/>
    </xf>
    <xf numFmtId="0" fontId="10" fillId="15" borderId="0" xfId="62" applyFont="1" applyFill="1"/>
    <xf numFmtId="0" fontId="43" fillId="0" borderId="0" xfId="0" applyFont="1"/>
    <xf numFmtId="0" fontId="9" fillId="0" borderId="12" xfId="0" applyFont="1" applyBorder="1"/>
    <xf numFmtId="0" fontId="43" fillId="0" borderId="13" xfId="0" applyFont="1" applyBorder="1"/>
    <xf numFmtId="0" fontId="44" fillId="0" borderId="0" xfId="0" applyFont="1" applyAlignment="1">
      <alignment horizontal="left" vertical="center"/>
    </xf>
    <xf numFmtId="0" fontId="45" fillId="0" borderId="0" xfId="0" applyFont="1"/>
    <xf numFmtId="0" fontId="43" fillId="0" borderId="9" xfId="0" applyFont="1" applyBorder="1" applyAlignment="1">
      <alignment horizontal="left"/>
    </xf>
    <xf numFmtId="0" fontId="43" fillId="0" borderId="3" xfId="0" applyFont="1" applyBorder="1" applyAlignment="1">
      <alignment horizontal="left"/>
    </xf>
    <xf numFmtId="0" fontId="43" fillId="0" borderId="8" xfId="0" applyFont="1" applyBorder="1" applyAlignment="1">
      <alignment horizontal="left"/>
    </xf>
    <xf numFmtId="0" fontId="11" fillId="0" borderId="0" xfId="62" applyFont="1" applyAlignment="1">
      <alignment horizontal="center" vertical="center"/>
    </xf>
    <xf numFmtId="0" fontId="10" fillId="0" borderId="0" xfId="62" applyFont="1" applyAlignment="1">
      <alignment horizontal="centerContinuous"/>
    </xf>
    <xf numFmtId="0" fontId="11" fillId="0" borderId="0" xfId="62" applyFont="1" applyAlignment="1">
      <alignment vertical="center"/>
    </xf>
    <xf numFmtId="0" fontId="10" fillId="0" borderId="0" xfId="62" applyFont="1" applyAlignment="1">
      <alignment vertical="top"/>
    </xf>
    <xf numFmtId="0" fontId="10" fillId="6" borderId="4" xfId="62" applyFont="1" applyFill="1" applyBorder="1" applyAlignment="1">
      <alignment horizontal="left" vertical="top"/>
    </xf>
    <xf numFmtId="0" fontId="10" fillId="6" borderId="4" xfId="62" applyFont="1" applyFill="1" applyBorder="1" applyAlignment="1">
      <alignment horizontal="left" vertical="top" wrapText="1"/>
    </xf>
    <xf numFmtId="0" fontId="10" fillId="6" borderId="4" xfId="62" applyFont="1" applyFill="1" applyBorder="1" applyAlignment="1">
      <alignment vertical="top"/>
    </xf>
    <xf numFmtId="0" fontId="11" fillId="6" borderId="4" xfId="62" applyFont="1" applyFill="1" applyBorder="1" applyAlignment="1">
      <alignment horizontal="left" vertical="top"/>
    </xf>
    <xf numFmtId="0" fontId="11" fillId="6" borderId="0" xfId="62" applyFont="1" applyFill="1" applyAlignment="1">
      <alignment horizontal="centerContinuous"/>
    </xf>
    <xf numFmtId="0" fontId="11" fillId="4" borderId="5" xfId="54" applyFont="1" applyFill="1" applyBorder="1" applyAlignment="1">
      <alignment horizontal="center" vertical="center" wrapText="1"/>
    </xf>
    <xf numFmtId="164" fontId="12" fillId="0" borderId="4" xfId="23" applyFont="1" applyFill="1" applyBorder="1" applyAlignment="1">
      <alignment vertical="center"/>
    </xf>
    <xf numFmtId="0" fontId="0" fillId="0" borderId="0" xfId="0" applyAlignment="1">
      <alignment horizontal="center" vertical="center"/>
    </xf>
    <xf numFmtId="0" fontId="29" fillId="0" borderId="4" xfId="22" applyFont="1" applyBorder="1" applyAlignment="1">
      <alignment vertical="center" wrapText="1"/>
    </xf>
    <xf numFmtId="0" fontId="0" fillId="0" borderId="4" xfId="0" applyBorder="1" applyAlignment="1">
      <alignment horizontal="center" vertical="center"/>
    </xf>
    <xf numFmtId="0" fontId="0" fillId="0" borderId="4" xfId="0" applyBorder="1" applyAlignment="1">
      <alignment wrapText="1"/>
    </xf>
    <xf numFmtId="0" fontId="0" fillId="19" borderId="4" xfId="0" applyFill="1" applyBorder="1"/>
    <xf numFmtId="0" fontId="9" fillId="0" borderId="4" xfId="0" applyFont="1" applyBorder="1" applyAlignment="1">
      <alignment wrapText="1"/>
    </xf>
    <xf numFmtId="0" fontId="9" fillId="11" borderId="4" xfId="0" applyFont="1" applyFill="1" applyBorder="1" applyAlignment="1">
      <alignment vertical="top" wrapText="1"/>
    </xf>
    <xf numFmtId="0" fontId="9" fillId="0" borderId="4" xfId="0" applyFont="1" applyBorder="1" applyAlignment="1">
      <alignment horizontal="center" vertical="center"/>
    </xf>
    <xf numFmtId="0" fontId="9" fillId="0" borderId="4" xfId="0" applyFont="1" applyBorder="1" applyAlignment="1">
      <alignment horizontal="left" vertical="top"/>
    </xf>
    <xf numFmtId="0" fontId="0" fillId="0" borderId="4" xfId="0" applyBorder="1" applyAlignment="1">
      <alignment vertical="top"/>
    </xf>
    <xf numFmtId="0" fontId="9" fillId="0" borderId="4" xfId="0" applyFont="1" applyBorder="1" applyAlignment="1">
      <alignment vertical="top" wrapText="1"/>
    </xf>
    <xf numFmtId="0" fontId="0" fillId="20" borderId="4" xfId="0" applyFill="1" applyBorder="1"/>
    <xf numFmtId="0" fontId="0" fillId="0" borderId="4" xfId="0" applyBorder="1" applyAlignment="1">
      <alignment horizontal="center"/>
    </xf>
    <xf numFmtId="0" fontId="0" fillId="0" borderId="4" xfId="0" applyBorder="1" applyAlignment="1">
      <alignment horizontal="center" vertical="top"/>
    </xf>
    <xf numFmtId="0" fontId="46" fillId="16" borderId="4" xfId="0" applyFont="1" applyFill="1" applyBorder="1" applyAlignment="1">
      <alignment horizontal="center" vertical="center"/>
    </xf>
    <xf numFmtId="0" fontId="46" fillId="16" borderId="4" xfId="0" applyFont="1" applyFill="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54" applyFont="1" applyAlignment="1">
      <alignment horizontal="center" vertical="center"/>
    </xf>
    <xf numFmtId="0" fontId="33" fillId="0" borderId="0" xfId="54" applyFont="1">
      <alignment vertical="center"/>
    </xf>
    <xf numFmtId="0" fontId="11" fillId="0" borderId="0" xfId="54" applyFont="1" applyAlignment="1">
      <alignment horizontal="center" vertical="center"/>
    </xf>
    <xf numFmtId="0" fontId="47" fillId="0" borderId="4" xfId="0" applyFont="1" applyBorder="1" applyAlignment="1">
      <alignment vertical="center"/>
    </xf>
    <xf numFmtId="0" fontId="47" fillId="0" borderId="4" xfId="0" applyFont="1" applyBorder="1" applyAlignment="1">
      <alignment horizontal="center" vertical="center"/>
    </xf>
    <xf numFmtId="0" fontId="46" fillId="0" borderId="4" xfId="0" applyFont="1" applyBorder="1" applyAlignment="1">
      <alignment vertical="center"/>
    </xf>
    <xf numFmtId="0" fontId="46" fillId="0" borderId="4" xfId="0" applyFont="1" applyBorder="1" applyAlignment="1">
      <alignment horizontal="center" vertical="center"/>
    </xf>
    <xf numFmtId="0" fontId="30" fillId="0" borderId="0" xfId="71" applyFont="1" applyAlignment="1">
      <alignment vertical="center"/>
    </xf>
    <xf numFmtId="0" fontId="30" fillId="0" borderId="0" xfId="71" applyFont="1" applyAlignment="1">
      <alignment horizontal="center" vertical="center"/>
    </xf>
    <xf numFmtId="0" fontId="10" fillId="0" borderId="0" xfId="60" applyFont="1">
      <alignment vertical="center"/>
    </xf>
    <xf numFmtId="0" fontId="29" fillId="0" borderId="4" xfId="71" applyFont="1" applyBorder="1" applyAlignment="1">
      <alignment vertical="center"/>
    </xf>
    <xf numFmtId="0" fontId="29" fillId="0" borderId="4" xfId="71" applyFont="1" applyBorder="1" applyAlignment="1">
      <alignment horizontal="center" vertical="center"/>
    </xf>
    <xf numFmtId="164" fontId="12" fillId="0" borderId="4" xfId="72" applyFont="1" applyFill="1" applyBorder="1" applyAlignment="1">
      <alignment vertical="center"/>
    </xf>
    <xf numFmtId="0" fontId="30" fillId="0" borderId="4" xfId="71" applyFont="1" applyBorder="1" applyAlignment="1">
      <alignment vertical="center"/>
    </xf>
    <xf numFmtId="0" fontId="30" fillId="0" borderId="4" xfId="71" applyFont="1" applyBorder="1" applyAlignment="1">
      <alignment horizontal="center" vertical="center"/>
    </xf>
    <xf numFmtId="164" fontId="36" fillId="0" borderId="4" xfId="72" applyFont="1" applyBorder="1" applyAlignment="1">
      <alignment vertical="center"/>
    </xf>
    <xf numFmtId="2" fontId="10" fillId="0" borderId="0" xfId="0" applyNumberFormat="1" applyFont="1" applyAlignment="1">
      <alignment horizontal="center" vertical="center"/>
    </xf>
    <xf numFmtId="0" fontId="48" fillId="0" borderId="0" xfId="0" applyFont="1"/>
    <xf numFmtId="0" fontId="10" fillId="6" borderId="4" xfId="14" applyFont="1" applyFill="1" applyBorder="1" applyAlignment="1">
      <alignment vertical="center" wrapText="1"/>
    </xf>
    <xf numFmtId="0" fontId="23" fillId="0" borderId="0" xfId="0" applyFont="1" applyAlignment="1">
      <alignment horizontal="left" vertical="top"/>
    </xf>
    <xf numFmtId="4" fontId="65" fillId="0" borderId="0" xfId="0" applyNumberFormat="1" applyFont="1"/>
    <xf numFmtId="4" fontId="31" fillId="0" borderId="24" xfId="0" applyNumberFormat="1" applyFont="1" applyBorder="1"/>
    <xf numFmtId="0" fontId="31" fillId="0" borderId="24" xfId="0" applyFont="1" applyBorder="1"/>
    <xf numFmtId="2" fontId="10" fillId="11" borderId="4" xfId="15" applyNumberFormat="1" applyFont="1" applyFill="1" applyBorder="1">
      <alignment vertical="center"/>
    </xf>
    <xf numFmtId="4" fontId="31" fillId="0" borderId="0" xfId="0" applyNumberFormat="1" applyFont="1"/>
    <xf numFmtId="0" fontId="65" fillId="0" borderId="24" xfId="0" applyFont="1" applyBorder="1" applyAlignment="1">
      <alignment horizontal="center"/>
    </xf>
    <xf numFmtId="0" fontId="31" fillId="0" borderId="24" xfId="0" applyFont="1" applyBorder="1" applyAlignment="1">
      <alignment horizontal="center"/>
    </xf>
    <xf numFmtId="0" fontId="23" fillId="0" borderId="23" xfId="0" applyFont="1" applyBorder="1" applyAlignment="1">
      <alignment horizontal="left" vertical="top"/>
    </xf>
    <xf numFmtId="2" fontId="10" fillId="0" borderId="4" xfId="10" applyNumberFormat="1" applyFont="1" applyBorder="1"/>
    <xf numFmtId="0" fontId="65" fillId="0" borderId="24" xfId="0" applyFont="1" applyBorder="1"/>
    <xf numFmtId="4" fontId="6" fillId="11" borderId="4" xfId="116" applyNumberFormat="1" applyFill="1" applyBorder="1"/>
    <xf numFmtId="0" fontId="31" fillId="0" borderId="0" xfId="0" applyFont="1"/>
    <xf numFmtId="0" fontId="31" fillId="0" borderId="0" xfId="0" applyFont="1" applyAlignment="1">
      <alignment horizontal="center"/>
    </xf>
    <xf numFmtId="4" fontId="0" fillId="0" borderId="0" xfId="0" applyNumberFormat="1"/>
    <xf numFmtId="0" fontId="9" fillId="52" borderId="4" xfId="0" applyFont="1" applyFill="1" applyBorder="1" applyAlignment="1">
      <alignment horizontal="right" vertical="top"/>
    </xf>
    <xf numFmtId="4" fontId="6" fillId="11" borderId="4" xfId="114" applyNumberFormat="1" applyFill="1" applyBorder="1"/>
    <xf numFmtId="2" fontId="11" fillId="0" borderId="4" xfId="15" applyNumberFormat="1" applyFont="1" applyBorder="1">
      <alignment vertical="center"/>
    </xf>
    <xf numFmtId="14" fontId="9" fillId="0" borderId="4" xfId="0" applyNumberFormat="1" applyFont="1" applyBorder="1" applyAlignment="1">
      <alignment horizontal="right" vertical="top"/>
    </xf>
    <xf numFmtId="0" fontId="9" fillId="0" borderId="4" xfId="0" applyFont="1" applyBorder="1" applyAlignment="1">
      <alignment vertical="top"/>
    </xf>
    <xf numFmtId="2" fontId="10" fillId="0" borderId="0" xfId="15" applyNumberFormat="1" applyFont="1">
      <alignment vertical="center"/>
    </xf>
    <xf numFmtId="2" fontId="11" fillId="0" borderId="4" xfId="10" applyNumberFormat="1" applyFont="1" applyBorder="1"/>
    <xf numFmtId="2" fontId="10" fillId="0" borderId="4" xfId="15" applyNumberFormat="1" applyFont="1" applyBorder="1">
      <alignment vertical="center"/>
    </xf>
    <xf numFmtId="0" fontId="9" fillId="52" borderId="4" xfId="0" applyFont="1" applyFill="1" applyBorder="1" applyAlignment="1">
      <alignment vertical="top"/>
    </xf>
    <xf numFmtId="0" fontId="9" fillId="53" borderId="4" xfId="0" applyFont="1" applyFill="1" applyBorder="1" applyAlignment="1">
      <alignment vertical="top"/>
    </xf>
    <xf numFmtId="4" fontId="10" fillId="0" borderId="0" xfId="15" applyNumberFormat="1" applyFont="1">
      <alignment vertical="center"/>
    </xf>
    <xf numFmtId="4" fontId="31" fillId="54" borderId="24" xfId="0" applyNumberFormat="1" applyFont="1" applyFill="1" applyBorder="1"/>
    <xf numFmtId="0" fontId="9" fillId="53" borderId="5" xfId="0" applyFont="1" applyFill="1" applyBorder="1" applyAlignment="1">
      <alignment vertical="top"/>
    </xf>
    <xf numFmtId="0" fontId="9" fillId="0" borderId="0" xfId="0" applyFont="1" applyAlignment="1">
      <alignment vertical="top"/>
    </xf>
    <xf numFmtId="2" fontId="10" fillId="11" borderId="4" xfId="10" applyNumberFormat="1" applyFont="1" applyFill="1" applyBorder="1"/>
    <xf numFmtId="4" fontId="9" fillId="0" borderId="4" xfId="0" applyNumberFormat="1" applyFont="1" applyBorder="1" applyAlignment="1">
      <alignment horizontal="right" vertical="top"/>
    </xf>
    <xf numFmtId="4" fontId="31" fillId="11" borderId="24" xfId="0" applyNumberFormat="1" applyFont="1" applyFill="1" applyBorder="1"/>
    <xf numFmtId="0" fontId="9" fillId="53" borderId="5" xfId="0" applyFont="1" applyFill="1" applyBorder="1" applyAlignment="1">
      <alignment vertical="top" wrapText="1"/>
    </xf>
    <xf numFmtId="0" fontId="6" fillId="0" borderId="0" xfId="114"/>
    <xf numFmtId="0" fontId="6" fillId="0" borderId="4" xfId="114" applyBorder="1"/>
    <xf numFmtId="4" fontId="6" fillId="0" borderId="4" xfId="114" applyNumberFormat="1" applyBorder="1"/>
    <xf numFmtId="0" fontId="6" fillId="0" borderId="4" xfId="114" applyBorder="1" applyAlignment="1">
      <alignment horizontal="center"/>
    </xf>
    <xf numFmtId="0" fontId="63" fillId="0" borderId="4" xfId="114" applyFont="1" applyBorder="1" applyAlignment="1">
      <alignment horizontal="center"/>
    </xf>
    <xf numFmtId="0" fontId="63" fillId="0" borderId="4" xfId="114" applyFont="1" applyBorder="1"/>
    <xf numFmtId="4" fontId="63" fillId="0" borderId="0" xfId="114" applyNumberFormat="1" applyFont="1"/>
    <xf numFmtId="0" fontId="23" fillId="0" borderId="0" xfId="114" applyFont="1" applyAlignment="1">
      <alignment horizontal="left" vertical="top"/>
    </xf>
    <xf numFmtId="0" fontId="23" fillId="0" borderId="13" xfId="114" applyFont="1" applyBorder="1" applyAlignment="1">
      <alignment horizontal="left" vertical="top"/>
    </xf>
    <xf numFmtId="4" fontId="9" fillId="52" borderId="4" xfId="0" applyNumberFormat="1" applyFont="1" applyFill="1" applyBorder="1" applyAlignment="1">
      <alignment horizontal="right" vertical="top"/>
    </xf>
    <xf numFmtId="0" fontId="6" fillId="0" borderId="0" xfId="116"/>
    <xf numFmtId="0" fontId="6" fillId="0" borderId="4" xfId="116" applyBorder="1"/>
    <xf numFmtId="0" fontId="6" fillId="0" borderId="4" xfId="116" applyBorder="1" applyAlignment="1">
      <alignment horizontal="center"/>
    </xf>
    <xf numFmtId="4" fontId="6" fillId="0" borderId="4" xfId="116" applyNumberFormat="1" applyBorder="1"/>
    <xf numFmtId="0" fontId="63" fillId="0" borderId="4" xfId="116" applyFont="1" applyBorder="1"/>
    <xf numFmtId="0" fontId="63" fillId="0" borderId="4" xfId="116" applyFont="1" applyBorder="1" applyAlignment="1">
      <alignment horizontal="center"/>
    </xf>
    <xf numFmtId="0" fontId="23" fillId="0" borderId="0" xfId="116" applyFont="1" applyAlignment="1">
      <alignment horizontal="left" vertical="top"/>
    </xf>
    <xf numFmtId="0" fontId="23" fillId="0" borderId="13" xfId="116" applyFont="1" applyBorder="1" applyAlignment="1">
      <alignment horizontal="left" vertical="top"/>
    </xf>
    <xf numFmtId="0" fontId="6" fillId="0" borderId="25" xfId="116" applyBorder="1"/>
    <xf numFmtId="4" fontId="63" fillId="0" borderId="0" xfId="116" applyNumberFormat="1" applyFont="1"/>
    <xf numFmtId="4" fontId="6" fillId="54" borderId="4" xfId="114" applyNumberFormat="1" applyFill="1" applyBorder="1"/>
    <xf numFmtId="2" fontId="10" fillId="0" borderId="4" xfId="0" applyNumberFormat="1" applyFont="1" applyBorder="1" applyAlignment="1">
      <alignment horizontal="left" vertical="top" wrapText="1"/>
    </xf>
    <xf numFmtId="2" fontId="10" fillId="0" borderId="4" xfId="14" applyNumberFormat="1" applyFont="1" applyBorder="1">
      <alignment vertical="center"/>
    </xf>
    <xf numFmtId="2" fontId="10" fillId="0" borderId="4" xfId="0" applyNumberFormat="1" applyFont="1" applyBorder="1" applyAlignment="1">
      <alignment vertical="top"/>
    </xf>
    <xf numFmtId="2" fontId="10" fillId="0" borderId="4" xfId="0" applyNumberFormat="1" applyFont="1" applyBorder="1"/>
    <xf numFmtId="2" fontId="11" fillId="0" borderId="4" xfId="0" applyNumberFormat="1" applyFont="1" applyBorder="1" applyAlignment="1">
      <alignment vertical="top"/>
    </xf>
    <xf numFmtId="2" fontId="10" fillId="0" borderId="4" xfId="0" applyNumberFormat="1" applyFont="1" applyBorder="1" applyAlignment="1">
      <alignment horizontal="right" vertical="top" wrapText="1"/>
    </xf>
    <xf numFmtId="2" fontId="10" fillId="0" borderId="0" xfId="0" applyNumberFormat="1" applyFont="1"/>
    <xf numFmtId="4" fontId="6" fillId="54" borderId="4" xfId="116" applyNumberFormat="1" applyFill="1" applyBorder="1"/>
    <xf numFmtId="2" fontId="10" fillId="0" borderId="4" xfId="14" applyNumberFormat="1" applyFont="1" applyBorder="1" applyAlignment="1">
      <alignment vertical="top" wrapText="1"/>
    </xf>
    <xf numFmtId="2" fontId="11" fillId="0" borderId="4" xfId="14" applyNumberFormat="1" applyFont="1" applyBorder="1" applyAlignment="1">
      <alignment vertical="top" wrapText="1"/>
    </xf>
    <xf numFmtId="2" fontId="10" fillId="0" borderId="0" xfId="10" applyNumberFormat="1" applyFont="1"/>
    <xf numFmtId="10" fontId="10" fillId="0" borderId="0" xfId="10" applyNumberFormat="1" applyFont="1"/>
    <xf numFmtId="2" fontId="10" fillId="0" borderId="4" xfId="10" applyNumberFormat="1" applyFont="1" applyBorder="1" applyAlignment="1">
      <alignment horizontal="left" wrapText="1"/>
    </xf>
    <xf numFmtId="2" fontId="10" fillId="0" borderId="4" xfId="10" applyNumberFormat="1" applyFont="1" applyBorder="1" applyAlignment="1">
      <alignment horizontal="left"/>
    </xf>
    <xf numFmtId="9" fontId="10" fillId="0" borderId="0" xfId="15" applyNumberFormat="1" applyFont="1">
      <alignment vertical="center"/>
    </xf>
    <xf numFmtId="10" fontId="10" fillId="0" borderId="0" xfId="15" applyNumberFormat="1" applyFont="1">
      <alignment vertical="center"/>
    </xf>
    <xf numFmtId="10" fontId="10" fillId="0" borderId="0" xfId="117" applyNumberFormat="1" applyFont="1" applyAlignment="1">
      <alignment vertical="center"/>
    </xf>
    <xf numFmtId="0" fontId="11" fillId="15" borderId="4" xfId="62" applyFont="1" applyFill="1" applyBorder="1"/>
    <xf numFmtId="2" fontId="10" fillId="0" borderId="4" xfId="10" applyNumberFormat="1" applyFont="1" applyBorder="1" applyAlignment="1">
      <alignment vertical="top"/>
    </xf>
    <xf numFmtId="2" fontId="11" fillId="0" borderId="4" xfId="10" applyNumberFormat="1" applyFont="1" applyBorder="1" applyAlignment="1">
      <alignment horizontal="center" vertical="center" wrapText="1"/>
    </xf>
    <xf numFmtId="2" fontId="27" fillId="0" borderId="4" xfId="15" applyNumberFormat="1" applyFont="1" applyBorder="1" applyAlignment="1">
      <alignment horizontal="center" vertical="center"/>
    </xf>
    <xf numFmtId="0" fontId="73" fillId="0" borderId="0" xfId="0" applyFont="1"/>
    <xf numFmtId="0" fontId="67" fillId="0" borderId="0" xfId="15" applyFont="1" applyAlignment="1">
      <alignment vertical="center" wrapText="1"/>
    </xf>
    <xf numFmtId="0" fontId="67" fillId="0" borderId="0" xfId="15" applyFont="1">
      <alignment vertical="center"/>
    </xf>
    <xf numFmtId="172" fontId="69" fillId="0" borderId="0" xfId="0" applyNumberFormat="1" applyFont="1" applyAlignment="1">
      <alignment horizontal="right"/>
    </xf>
    <xf numFmtId="172" fontId="9" fillId="0" borderId="0" xfId="0" applyNumberFormat="1" applyFont="1" applyAlignment="1">
      <alignment horizontal="right"/>
    </xf>
    <xf numFmtId="0" fontId="11" fillId="15" borderId="4" xfId="62" applyFont="1" applyFill="1" applyBorder="1" applyAlignment="1">
      <alignment horizontal="left"/>
    </xf>
    <xf numFmtId="0" fontId="70" fillId="0" borderId="0" xfId="0" applyFont="1" applyAlignment="1">
      <alignment vertical="center" wrapText="1"/>
    </xf>
    <xf numFmtId="0" fontId="71" fillId="0" borderId="0" xfId="0" applyFont="1" applyAlignment="1">
      <alignment vertical="center" wrapText="1"/>
    </xf>
    <xf numFmtId="2" fontId="10" fillId="0" borderId="4" xfId="10" applyNumberFormat="1" applyFont="1" applyBorder="1" applyAlignment="1">
      <alignment horizontal="left" vertical="center" wrapText="1"/>
    </xf>
    <xf numFmtId="2" fontId="10" fillId="0" borderId="4" xfId="10" applyNumberFormat="1" applyFont="1" applyBorder="1" applyAlignment="1">
      <alignment horizontal="left" vertical="center"/>
    </xf>
    <xf numFmtId="0" fontId="72" fillId="0" borderId="0" xfId="0" applyFont="1"/>
    <xf numFmtId="172" fontId="9" fillId="0" borderId="0" xfId="0" applyNumberFormat="1" applyFont="1"/>
    <xf numFmtId="0" fontId="11" fillId="0" borderId="24" xfId="53" applyFont="1" applyBorder="1"/>
    <xf numFmtId="0" fontId="10" fillId="0" borderId="24" xfId="53" applyFont="1" applyBorder="1"/>
    <xf numFmtId="0" fontId="10" fillId="0" borderId="24" xfId="62" applyFont="1" applyBorder="1" applyAlignment="1">
      <alignment wrapText="1"/>
    </xf>
    <xf numFmtId="0" fontId="10" fillId="0" borderId="24" xfId="53" applyFont="1" applyBorder="1" applyAlignment="1">
      <alignment wrapText="1"/>
    </xf>
    <xf numFmtId="15" fontId="10" fillId="0" borderId="8" xfId="53" applyNumberFormat="1" applyFont="1" applyBorder="1" applyAlignment="1">
      <alignment wrapText="1"/>
    </xf>
    <xf numFmtId="2" fontId="10" fillId="0" borderId="0" xfId="14" applyNumberFormat="1" applyFont="1">
      <alignment vertical="center"/>
    </xf>
    <xf numFmtId="10" fontId="10" fillId="0" borderId="0" xfId="14" applyNumberFormat="1" applyFont="1">
      <alignment vertical="center"/>
    </xf>
    <xf numFmtId="0" fontId="74" fillId="0" borderId="24" xfId="0" applyFont="1" applyBorder="1" applyAlignment="1">
      <alignment vertical="center"/>
    </xf>
    <xf numFmtId="0" fontId="23" fillId="0" borderId="24" xfId="0" applyFont="1" applyBorder="1" applyAlignment="1">
      <alignment horizontal="center" vertical="center" wrapText="1"/>
    </xf>
    <xf numFmtId="0" fontId="75" fillId="0" borderId="24" xfId="0" applyFont="1" applyBorder="1" applyAlignment="1">
      <alignment horizontal="center" vertical="center"/>
    </xf>
    <xf numFmtId="0" fontId="75" fillId="0" borderId="24" xfId="0" applyFont="1" applyBorder="1" applyAlignment="1">
      <alignment vertical="center"/>
    </xf>
    <xf numFmtId="2" fontId="11" fillId="0" borderId="4" xfId="10" applyNumberFormat="1" applyFont="1" applyBorder="1" applyAlignment="1">
      <alignment horizontal="left" vertical="center"/>
    </xf>
    <xf numFmtId="10" fontId="10" fillId="0" borderId="4" xfId="15" applyNumberFormat="1" applyFont="1" applyBorder="1">
      <alignment vertical="center"/>
    </xf>
    <xf numFmtId="0" fontId="10" fillId="5" borderId="4" xfId="10" applyFont="1" applyFill="1" applyBorder="1" applyAlignment="1">
      <alignment horizontal="right"/>
    </xf>
    <xf numFmtId="0" fontId="10" fillId="0" borderId="4" xfId="15" applyFont="1" applyBorder="1" applyAlignment="1">
      <alignment horizontal="right" vertical="center"/>
    </xf>
    <xf numFmtId="0" fontId="10" fillId="0" borderId="0" xfId="15" applyFont="1" applyAlignment="1">
      <alignment horizontal="right" vertical="center"/>
    </xf>
    <xf numFmtId="10" fontId="34" fillId="6" borderId="4" xfId="13" applyNumberFormat="1" applyFont="1" applyFill="1" applyBorder="1" applyAlignment="1">
      <alignment horizontal="right"/>
    </xf>
    <xf numFmtId="0" fontId="34" fillId="6" borderId="4" xfId="13" applyFont="1" applyFill="1" applyBorder="1" applyAlignment="1">
      <alignment horizontal="right"/>
    </xf>
    <xf numFmtId="10" fontId="10" fillId="0" borderId="4" xfId="15" applyNumberFormat="1" applyFont="1" applyBorder="1" applyAlignment="1">
      <alignment horizontal="right" vertical="center"/>
    </xf>
    <xf numFmtId="2" fontId="34" fillId="6" borderId="4" xfId="13" applyNumberFormat="1" applyFont="1" applyFill="1" applyBorder="1" applyAlignment="1">
      <alignment horizontal="right"/>
    </xf>
    <xf numFmtId="0" fontId="11" fillId="5" borderId="4" xfId="10" applyFont="1" applyFill="1" applyBorder="1" applyAlignment="1">
      <alignment horizontal="right"/>
    </xf>
    <xf numFmtId="0" fontId="11" fillId="0" borderId="4" xfId="15" applyFont="1" applyBorder="1" applyAlignment="1">
      <alignment horizontal="right" vertical="center"/>
    </xf>
    <xf numFmtId="0" fontId="10" fillId="0" borderId="24" xfId="62" applyFont="1" applyBorder="1"/>
    <xf numFmtId="0" fontId="10" fillId="0" borderId="4" xfId="62" applyFont="1" applyBorder="1" applyAlignment="1">
      <alignment horizontal="right" vertical="top"/>
    </xf>
    <xf numFmtId="0" fontId="10" fillId="0" borderId="4" xfId="62" applyFont="1" applyBorder="1" applyAlignment="1">
      <alignment horizontal="right"/>
    </xf>
    <xf numFmtId="0" fontId="10" fillId="0" borderId="4" xfId="62" applyFont="1" applyBorder="1" applyAlignment="1">
      <alignment horizontal="right" vertical="top" wrapText="1"/>
    </xf>
    <xf numFmtId="0" fontId="14" fillId="0" borderId="4" xfId="62" applyFont="1" applyBorder="1" applyAlignment="1">
      <alignment horizontal="right"/>
    </xf>
    <xf numFmtId="0" fontId="10" fillId="0" borderId="24" xfId="62" applyFont="1" applyBorder="1" applyAlignment="1">
      <alignment horizontal="right" vertical="top"/>
    </xf>
    <xf numFmtId="0" fontId="10" fillId="0" borderId="24" xfId="62" applyFont="1" applyBorder="1" applyAlignment="1">
      <alignment horizontal="right"/>
    </xf>
    <xf numFmtId="0" fontId="14" fillId="0" borderId="24" xfId="62" applyFont="1" applyBorder="1" applyAlignment="1">
      <alignment horizontal="right"/>
    </xf>
    <xf numFmtId="0" fontId="11" fillId="0" borderId="4" xfId="62" applyFont="1" applyBorder="1" applyAlignment="1">
      <alignment horizontal="right" vertical="top"/>
    </xf>
    <xf numFmtId="0" fontId="15" fillId="0" borderId="4" xfId="62" applyFont="1" applyBorder="1" applyAlignment="1">
      <alignment horizontal="right"/>
    </xf>
    <xf numFmtId="0" fontId="10" fillId="0" borderId="24" xfId="62" applyFont="1" applyBorder="1" applyAlignment="1">
      <alignment horizontal="center" vertical="top"/>
    </xf>
    <xf numFmtId="0" fontId="10" fillId="0" borderId="24" xfId="62" applyFont="1" applyBorder="1" applyAlignment="1">
      <alignment horizontal="left" vertical="top"/>
    </xf>
    <xf numFmtId="9" fontId="10" fillId="0" borderId="4" xfId="54" applyNumberFormat="1" applyFont="1" applyBorder="1">
      <alignment vertical="center"/>
    </xf>
    <xf numFmtId="10" fontId="10" fillId="0" borderId="4" xfId="54" applyNumberFormat="1" applyFont="1" applyBorder="1">
      <alignment vertical="center"/>
    </xf>
    <xf numFmtId="2" fontId="10" fillId="0" borderId="4" xfId="54" applyNumberFormat="1" applyFont="1" applyBorder="1">
      <alignment vertical="center"/>
    </xf>
    <xf numFmtId="2" fontId="11" fillId="0" borderId="4" xfId="15" applyNumberFormat="1" applyFont="1" applyBorder="1" applyAlignment="1">
      <alignment horizontal="center" vertical="center"/>
    </xf>
    <xf numFmtId="2" fontId="11" fillId="0" borderId="4" xfId="54" applyNumberFormat="1" applyFont="1" applyBorder="1" applyAlignment="1">
      <alignment horizontal="center" vertical="center" wrapText="1"/>
    </xf>
    <xf numFmtId="2" fontId="11" fillId="0" borderId="4" xfId="15" applyNumberFormat="1" applyFont="1" applyBorder="1" applyAlignment="1">
      <alignment horizontal="center" vertical="center" wrapText="1"/>
    </xf>
    <xf numFmtId="2" fontId="10" fillId="5" borderId="4" xfId="10" applyNumberFormat="1" applyFont="1" applyFill="1" applyBorder="1" applyAlignment="1">
      <alignment horizontal="left"/>
    </xf>
    <xf numFmtId="2" fontId="10" fillId="5" borderId="4" xfId="10" quotePrefix="1" applyNumberFormat="1" applyFont="1" applyFill="1" applyBorder="1" applyAlignment="1">
      <alignment horizontal="left" vertical="top" wrapText="1"/>
    </xf>
    <xf numFmtId="10" fontId="10" fillId="5" borderId="4" xfId="10" applyNumberFormat="1" applyFont="1" applyFill="1" applyBorder="1" applyAlignment="1">
      <alignment horizontal="left"/>
    </xf>
    <xf numFmtId="2" fontId="10" fillId="0" borderId="4" xfId="17" applyNumberFormat="1" applyFont="1" applyBorder="1" applyAlignment="1">
      <alignment horizontal="center" vertical="center"/>
    </xf>
    <xf numFmtId="2" fontId="10" fillId="0" borderId="4" xfId="16" applyNumberFormat="1" applyFont="1" applyBorder="1" applyAlignment="1">
      <alignment horizontal="center" vertical="center"/>
    </xf>
    <xf numFmtId="2" fontId="10" fillId="0" borderId="4" xfId="16" applyNumberFormat="1" applyFont="1" applyBorder="1">
      <alignment vertical="center"/>
    </xf>
    <xf numFmtId="2" fontId="10" fillId="14" borderId="4" xfId="14" applyNumberFormat="1" applyFont="1" applyFill="1" applyBorder="1">
      <alignment vertical="center"/>
    </xf>
    <xf numFmtId="2" fontId="11" fillId="0" borderId="4" xfId="17" applyNumberFormat="1" applyFont="1" applyBorder="1">
      <alignment vertical="center"/>
    </xf>
    <xf numFmtId="2" fontId="9" fillId="0" borderId="4" xfId="0" applyNumberFormat="1" applyFont="1" applyBorder="1"/>
    <xf numFmtId="4" fontId="43" fillId="6" borderId="24" xfId="170" applyNumberFormat="1" applyFont="1" applyFill="1" applyBorder="1" applyAlignment="1">
      <alignment horizontal="right" vertical="top"/>
    </xf>
    <xf numFmtId="4" fontId="43" fillId="0" borderId="24" xfId="171" applyNumberFormat="1" applyFont="1" applyBorder="1" applyAlignment="1">
      <alignment vertical="top"/>
    </xf>
    <xf numFmtId="0" fontId="41" fillId="6" borderId="24" xfId="172" applyFont="1" applyFill="1" applyBorder="1" applyAlignment="1">
      <alignment vertical="top"/>
    </xf>
    <xf numFmtId="4" fontId="43" fillId="6" borderId="24" xfId="173" applyNumberFormat="1" applyFont="1" applyFill="1" applyBorder="1" applyAlignment="1">
      <alignment horizontal="right" vertical="top"/>
    </xf>
    <xf numFmtId="0" fontId="43" fillId="0" borderId="24" xfId="174" applyFont="1" applyBorder="1" applyAlignment="1">
      <alignment vertical="top"/>
    </xf>
    <xf numFmtId="4" fontId="43" fillId="0" borderId="24" xfId="175" applyNumberFormat="1" applyFont="1" applyBorder="1" applyAlignment="1">
      <alignment vertical="top"/>
    </xf>
    <xf numFmtId="4" fontId="9" fillId="0" borderId="4" xfId="0" applyNumberFormat="1" applyFont="1" applyBorder="1"/>
    <xf numFmtId="0" fontId="4" fillId="0" borderId="24" xfId="176" applyBorder="1" applyAlignment="1">
      <alignment horizontal="left"/>
    </xf>
    <xf numFmtId="0" fontId="4" fillId="0" borderId="24" xfId="176" applyBorder="1"/>
    <xf numFmtId="2" fontId="4" fillId="0" borderId="24" xfId="176" applyNumberFormat="1" applyBorder="1" applyAlignment="1">
      <alignment horizontal="left"/>
    </xf>
    <xf numFmtId="0" fontId="76" fillId="0" borderId="24" xfId="176" applyFont="1" applyBorder="1" applyAlignment="1">
      <alignment horizontal="left"/>
    </xf>
    <xf numFmtId="0" fontId="4" fillId="0" borderId="24" xfId="176" quotePrefix="1" applyBorder="1" applyAlignment="1">
      <alignment horizontal="left"/>
    </xf>
    <xf numFmtId="0" fontId="63" fillId="0" borderId="24" xfId="176" applyFont="1" applyBorder="1"/>
    <xf numFmtId="14" fontId="4" fillId="0" borderId="24" xfId="176" applyNumberFormat="1" applyBorder="1"/>
    <xf numFmtId="0" fontId="76" fillId="0" borderId="24" xfId="176" quotePrefix="1" applyFont="1" applyBorder="1" applyAlignment="1">
      <alignment horizontal="left"/>
    </xf>
    <xf numFmtId="14" fontId="76" fillId="0" borderId="24" xfId="176" applyNumberFormat="1" applyFont="1" applyBorder="1" applyAlignment="1">
      <alignment horizontal="left"/>
    </xf>
    <xf numFmtId="172" fontId="76" fillId="0" borderId="24" xfId="176" applyNumberFormat="1" applyFont="1" applyBorder="1" applyAlignment="1">
      <alignment horizontal="left"/>
    </xf>
    <xf numFmtId="2" fontId="76" fillId="0" borderId="24" xfId="176" applyNumberFormat="1" applyFont="1" applyBorder="1" applyAlignment="1">
      <alignment horizontal="left"/>
    </xf>
    <xf numFmtId="2" fontId="76" fillId="0" borderId="24" xfId="177" applyNumberFormat="1" applyFont="1" applyFill="1" applyBorder="1" applyAlignment="1">
      <alignment horizontal="left"/>
    </xf>
    <xf numFmtId="0" fontId="76" fillId="6" borderId="24" xfId="176" applyFont="1" applyFill="1" applyBorder="1" applyAlignment="1">
      <alignment horizontal="left"/>
    </xf>
    <xf numFmtId="0" fontId="76" fillId="6" borderId="24" xfId="176" quotePrefix="1" applyFont="1" applyFill="1" applyBorder="1" applyAlignment="1">
      <alignment horizontal="left"/>
    </xf>
    <xf numFmtId="14" fontId="4" fillId="0" borderId="24" xfId="176" quotePrefix="1" applyNumberFormat="1" applyBorder="1" applyAlignment="1">
      <alignment horizontal="left"/>
    </xf>
    <xf numFmtId="14" fontId="4" fillId="0" borderId="24" xfId="176" applyNumberFormat="1" applyBorder="1" applyAlignment="1">
      <alignment horizontal="left"/>
    </xf>
    <xf numFmtId="0" fontId="4" fillId="0" borderId="24" xfId="179" applyBorder="1"/>
    <xf numFmtId="0" fontId="63" fillId="0" borderId="24" xfId="179" applyFont="1" applyBorder="1"/>
    <xf numFmtId="14" fontId="4" fillId="0" borderId="24" xfId="179" applyNumberFormat="1" applyBorder="1"/>
    <xf numFmtId="0" fontId="76" fillId="6" borderId="24" xfId="179" applyFont="1" applyFill="1" applyBorder="1" applyAlignment="1">
      <alignment horizontal="left"/>
    </xf>
    <xf numFmtId="0" fontId="76" fillId="6" borderId="24" xfId="179" quotePrefix="1" applyFont="1" applyFill="1" applyBorder="1" applyAlignment="1">
      <alignment horizontal="left"/>
    </xf>
    <xf numFmtId="0" fontId="63" fillId="0" borderId="24" xfId="179" applyFont="1" applyBorder="1" applyAlignment="1">
      <alignment horizontal="center" wrapText="1"/>
    </xf>
    <xf numFmtId="0" fontId="63" fillId="0" borderId="24" xfId="179" applyFont="1" applyBorder="1" applyAlignment="1">
      <alignment wrapText="1"/>
    </xf>
    <xf numFmtId="0" fontId="63" fillId="6" borderId="24" xfId="179" applyFont="1" applyFill="1" applyBorder="1"/>
    <xf numFmtId="14" fontId="76" fillId="6" borderId="24" xfId="179" applyNumberFormat="1" applyFont="1" applyFill="1" applyBorder="1" applyAlignment="1">
      <alignment horizontal="left"/>
    </xf>
    <xf numFmtId="0" fontId="76" fillId="6" borderId="24" xfId="180" applyNumberFormat="1" applyFont="1" applyFill="1" applyBorder="1" applyAlignment="1">
      <alignment horizontal="left"/>
    </xf>
    <xf numFmtId="2" fontId="76" fillId="6" borderId="24" xfId="179" applyNumberFormat="1" applyFont="1" applyFill="1" applyBorder="1" applyAlignment="1">
      <alignment horizontal="left"/>
    </xf>
    <xf numFmtId="14" fontId="4" fillId="6" borderId="24" xfId="179" applyNumberFormat="1" applyFill="1" applyBorder="1"/>
    <xf numFmtId="0" fontId="4" fillId="6" borderId="24" xfId="179" applyFill="1" applyBorder="1"/>
    <xf numFmtId="0" fontId="4" fillId="0" borderId="5" xfId="179" applyBorder="1"/>
    <xf numFmtId="0" fontId="76" fillId="6" borderId="5" xfId="179" applyFont="1" applyFill="1" applyBorder="1" applyAlignment="1">
      <alignment horizontal="left"/>
    </xf>
    <xf numFmtId="0" fontId="76" fillId="6" borderId="5" xfId="179" quotePrefix="1" applyFont="1" applyFill="1" applyBorder="1" applyAlignment="1">
      <alignment horizontal="left"/>
    </xf>
    <xf numFmtId="14" fontId="76" fillId="6" borderId="5" xfId="179" applyNumberFormat="1" applyFont="1" applyFill="1" applyBorder="1" applyAlignment="1">
      <alignment horizontal="left"/>
    </xf>
    <xf numFmtId="14" fontId="4" fillId="6" borderId="5" xfId="179" applyNumberFormat="1" applyFill="1" applyBorder="1"/>
    <xf numFmtId="2" fontId="76" fillId="6" borderId="5" xfId="179" applyNumberFormat="1" applyFont="1" applyFill="1" applyBorder="1" applyAlignment="1">
      <alignment horizontal="left"/>
    </xf>
    <xf numFmtId="0" fontId="4" fillId="6" borderId="24" xfId="179" applyFill="1" applyBorder="1" applyAlignment="1">
      <alignment horizontal="left"/>
    </xf>
    <xf numFmtId="0" fontId="4" fillId="6" borderId="24" xfId="179" quotePrefix="1" applyFill="1" applyBorder="1" applyAlignment="1">
      <alignment horizontal="left"/>
    </xf>
    <xf numFmtId="14" fontId="4" fillId="6" borderId="24" xfId="179" applyNumberFormat="1" applyFill="1" applyBorder="1" applyAlignment="1">
      <alignment horizontal="left"/>
    </xf>
    <xf numFmtId="2" fontId="4" fillId="6" borderId="24" xfId="179" applyNumberFormat="1" applyFill="1" applyBorder="1" applyAlignment="1">
      <alignment horizontal="left"/>
    </xf>
    <xf numFmtId="0" fontId="4" fillId="0" borderId="6" xfId="179" applyBorder="1"/>
    <xf numFmtId="0" fontId="4" fillId="6" borderId="6" xfId="179" applyFill="1" applyBorder="1" applyAlignment="1">
      <alignment horizontal="left"/>
    </xf>
    <xf numFmtId="0" fontId="76" fillId="6" borderId="6" xfId="179" applyFont="1" applyFill="1" applyBorder="1" applyAlignment="1">
      <alignment horizontal="left"/>
    </xf>
    <xf numFmtId="0" fontId="4" fillId="6" borderId="6" xfId="179" quotePrefix="1" applyFill="1" applyBorder="1" applyAlignment="1">
      <alignment horizontal="left"/>
    </xf>
    <xf numFmtId="14" fontId="4" fillId="6" borderId="6" xfId="179" applyNumberFormat="1" applyFill="1" applyBorder="1" applyAlignment="1">
      <alignment horizontal="left"/>
    </xf>
    <xf numFmtId="14" fontId="4" fillId="6" borderId="6" xfId="179" applyNumberFormat="1" applyFill="1" applyBorder="1"/>
    <xf numFmtId="2" fontId="4" fillId="6" borderId="6" xfId="179" applyNumberFormat="1" applyFill="1" applyBorder="1" applyAlignment="1">
      <alignment horizontal="left"/>
    </xf>
    <xf numFmtId="10" fontId="9" fillId="0" borderId="4" xfId="0" applyNumberFormat="1" applyFont="1" applyBorder="1"/>
    <xf numFmtId="4" fontId="10" fillId="0" borderId="4" xfId="54" applyNumberFormat="1" applyFont="1" applyBorder="1">
      <alignment vertical="center"/>
    </xf>
    <xf numFmtId="0" fontId="10" fillId="0" borderId="4" xfId="0" applyFont="1" applyBorder="1" applyAlignment="1">
      <alignment horizontal="center" vertical="center"/>
    </xf>
    <xf numFmtId="0" fontId="48" fillId="0" borderId="0" xfId="15" applyFont="1">
      <alignment vertical="center"/>
    </xf>
    <xf numFmtId="2" fontId="10" fillId="0" borderId="24" xfId="0" applyNumberFormat="1" applyFont="1" applyBorder="1" applyAlignment="1">
      <alignment horizontal="center" vertical="center"/>
    </xf>
    <xf numFmtId="2" fontId="3" fillId="0" borderId="0" xfId="182" applyNumberFormat="1"/>
    <xf numFmtId="4" fontId="10" fillId="0" borderId="4" xfId="53" applyNumberFormat="1" applyFont="1" applyBorder="1" applyAlignment="1">
      <alignment horizontal="left" vertical="center"/>
    </xf>
    <xf numFmtId="2" fontId="11" fillId="0" borderId="4" xfId="15" applyNumberFormat="1" applyFont="1" applyBorder="1" applyAlignment="1">
      <alignment vertical="top" wrapText="1"/>
    </xf>
    <xf numFmtId="0" fontId="10" fillId="0" borderId="24" xfId="0" applyFont="1" applyBorder="1" applyAlignment="1">
      <alignment horizontal="center" vertical="top"/>
    </xf>
    <xf numFmtId="0" fontId="10" fillId="0" borderId="24" xfId="0" applyFont="1" applyBorder="1" applyAlignment="1">
      <alignment vertical="top"/>
    </xf>
    <xf numFmtId="2" fontId="10" fillId="0" borderId="24" xfId="0" applyNumberFormat="1" applyFont="1" applyBorder="1" applyAlignment="1">
      <alignment vertical="top"/>
    </xf>
    <xf numFmtId="2" fontId="10" fillId="0" borderId="24" xfId="14" applyNumberFormat="1" applyFont="1" applyBorder="1">
      <alignment vertical="center"/>
    </xf>
    <xf numFmtId="2" fontId="48" fillId="0" borderId="4" xfId="15" applyNumberFormat="1" applyFont="1" applyBorder="1">
      <alignment vertical="center"/>
    </xf>
    <xf numFmtId="0" fontId="48" fillId="0" borderId="0" xfId="16" applyFont="1">
      <alignment vertical="center"/>
    </xf>
    <xf numFmtId="0" fontId="77" fillId="0" borderId="0" xfId="0" applyFont="1"/>
    <xf numFmtId="0" fontId="11" fillId="4" borderId="24" xfId="54" applyFont="1" applyFill="1" applyBorder="1" applyAlignment="1">
      <alignment horizontal="center" vertical="center" wrapText="1"/>
    </xf>
    <xf numFmtId="0" fontId="11" fillId="0" borderId="24" xfId="62" applyFont="1" applyBorder="1" applyAlignment="1">
      <alignment horizontal="left"/>
    </xf>
    <xf numFmtId="0" fontId="11" fillId="0" borderId="24" xfId="62" applyFont="1" applyBorder="1" applyAlignment="1">
      <alignment vertical="top"/>
    </xf>
    <xf numFmtId="0" fontId="11" fillId="0" borderId="5" xfId="62" applyFont="1" applyBorder="1" applyAlignment="1">
      <alignment vertical="top"/>
    </xf>
    <xf numFmtId="0" fontId="11" fillId="0" borderId="5" xfId="62" applyFont="1" applyBorder="1"/>
    <xf numFmtId="0" fontId="11" fillId="0" borderId="24" xfId="62" applyFont="1" applyBorder="1"/>
    <xf numFmtId="0" fontId="17" fillId="0" borderId="24" xfId="10" applyBorder="1" applyAlignment="1">
      <alignment vertical="top" wrapText="1"/>
    </xf>
    <xf numFmtId="2" fontId="10" fillId="0" borderId="24" xfId="62" applyNumberFormat="1" applyFont="1" applyBorder="1" applyAlignment="1">
      <alignment vertical="top"/>
    </xf>
    <xf numFmtId="2" fontId="10" fillId="0" borderId="7" xfId="62" applyNumberFormat="1" applyFont="1" applyBorder="1" applyAlignment="1">
      <alignment horizontal="center"/>
    </xf>
    <xf numFmtId="0" fontId="10" fillId="0" borderId="24" xfId="62" applyFont="1" applyBorder="1" applyAlignment="1">
      <alignment vertical="top"/>
    </xf>
    <xf numFmtId="2" fontId="10" fillId="0" borderId="7" xfId="62" applyNumberFormat="1" applyFont="1" applyBorder="1" applyAlignment="1">
      <alignment horizontal="center" vertical="top"/>
    </xf>
    <xf numFmtId="2" fontId="10" fillId="0" borderId="7" xfId="62" applyNumberFormat="1" applyFont="1" applyBorder="1" applyAlignment="1">
      <alignment horizontal="center" vertical="center"/>
    </xf>
    <xf numFmtId="173" fontId="10" fillId="0" borderId="24" xfId="62" applyNumberFormat="1" applyFont="1" applyBorder="1"/>
    <xf numFmtId="2" fontId="11" fillId="0" borderId="0" xfId="62" applyNumberFormat="1" applyFont="1"/>
    <xf numFmtId="2" fontId="11" fillId="0" borderId="24" xfId="62" applyNumberFormat="1" applyFont="1" applyBorder="1" applyAlignment="1">
      <alignment vertical="top"/>
    </xf>
    <xf numFmtId="2" fontId="11" fillId="0" borderId="24" xfId="62" applyNumberFormat="1" applyFont="1" applyBorder="1" applyAlignment="1">
      <alignment horizontal="center" vertical="top"/>
    </xf>
    <xf numFmtId="173" fontId="11" fillId="0" borderId="24" xfId="62" applyNumberFormat="1" applyFont="1" applyBorder="1"/>
    <xf numFmtId="2" fontId="10" fillId="0" borderId="24" xfId="62" applyNumberFormat="1" applyFont="1" applyBorder="1"/>
    <xf numFmtId="2" fontId="11" fillId="0" borderId="7" xfId="62" applyNumberFormat="1" applyFont="1" applyBorder="1" applyAlignment="1">
      <alignment horizontal="center"/>
    </xf>
    <xf numFmtId="2" fontId="10" fillId="0" borderId="6" xfId="62" applyNumberFormat="1" applyFont="1" applyBorder="1" applyAlignment="1">
      <alignment horizontal="center" vertical="top" wrapText="1"/>
    </xf>
    <xf numFmtId="0" fontId="11" fillId="0" borderId="24" xfId="62" applyFont="1" applyBorder="1" applyAlignment="1">
      <alignment horizontal="left" vertical="top"/>
    </xf>
    <xf numFmtId="2" fontId="11" fillId="0" borderId="24" xfId="62" applyNumberFormat="1" applyFont="1" applyBorder="1" applyAlignment="1">
      <alignment horizontal="left" vertical="top"/>
    </xf>
    <xf numFmtId="0" fontId="14" fillId="0" borderId="24" xfId="62" applyFont="1" applyBorder="1"/>
    <xf numFmtId="0" fontId="17" fillId="0" borderId="9" xfId="10" applyBorder="1" applyAlignment="1">
      <alignment vertical="top" wrapText="1"/>
    </xf>
    <xf numFmtId="2" fontId="10" fillId="0" borderId="24" xfId="62" applyNumberFormat="1" applyFont="1" applyBorder="1" applyAlignment="1">
      <alignment horizontal="center"/>
    </xf>
    <xf numFmtId="0" fontId="10" fillId="0" borderId="24" xfId="54" applyFont="1" applyBorder="1">
      <alignment vertical="center"/>
    </xf>
    <xf numFmtId="2" fontId="10" fillId="0" borderId="24" xfId="54" applyNumberFormat="1" applyFont="1" applyBorder="1">
      <alignment vertical="center"/>
    </xf>
    <xf numFmtId="2" fontId="10" fillId="0" borderId="24" xfId="54" applyNumberFormat="1" applyFont="1" applyBorder="1" applyAlignment="1">
      <alignment horizontal="center" vertical="center"/>
    </xf>
    <xf numFmtId="0" fontId="78" fillId="0" borderId="3" xfId="0" applyFont="1" applyBorder="1"/>
    <xf numFmtId="0" fontId="0" fillId="0" borderId="24" xfId="0" applyBorder="1"/>
    <xf numFmtId="0" fontId="11" fillId="0" borderId="9" xfId="62" applyFont="1" applyBorder="1" applyAlignment="1">
      <alignment horizontal="left"/>
    </xf>
    <xf numFmtId="2" fontId="11" fillId="0" borderId="24" xfId="62" applyNumberFormat="1" applyFont="1" applyBorder="1"/>
    <xf numFmtId="10" fontId="38" fillId="0" borderId="0" xfId="62" applyNumberFormat="1" applyFont="1" applyAlignment="1">
      <alignment horizontal="left" vertical="center"/>
    </xf>
    <xf numFmtId="10" fontId="10" fillId="0" borderId="0" xfId="62" applyNumberFormat="1" applyFont="1"/>
    <xf numFmtId="2" fontId="11" fillId="0" borderId="0" xfId="62" applyNumberFormat="1" applyFont="1" applyAlignment="1">
      <alignment horizontal="right"/>
    </xf>
    <xf numFmtId="10" fontId="10" fillId="0" borderId="24" xfId="62" applyNumberFormat="1" applyFont="1" applyBorder="1"/>
    <xf numFmtId="0" fontId="10" fillId="0" borderId="24" xfId="0" applyFont="1" applyBorder="1" applyAlignment="1">
      <alignment vertical="center" wrapText="1"/>
    </xf>
    <xf numFmtId="2" fontId="10" fillId="0" borderId="26" xfId="0" applyNumberFormat="1" applyFont="1" applyBorder="1" applyAlignment="1">
      <alignment horizontal="center" vertical="center"/>
    </xf>
    <xf numFmtId="10" fontId="10" fillId="0" borderId="0" xfId="0" applyNumberFormat="1" applyFont="1"/>
    <xf numFmtId="2" fontId="10" fillId="0" borderId="4" xfId="62" applyNumberFormat="1" applyFont="1" applyBorder="1"/>
    <xf numFmtId="2" fontId="10" fillId="14" borderId="24" xfId="0" applyNumberFormat="1" applyFont="1" applyFill="1" applyBorder="1" applyAlignment="1">
      <alignment horizontal="center" vertical="center"/>
    </xf>
    <xf numFmtId="2" fontId="27" fillId="0" borderId="0" xfId="0" applyNumberFormat="1" applyFont="1" applyAlignment="1">
      <alignment vertical="center"/>
    </xf>
    <xf numFmtId="10" fontId="27" fillId="0" borderId="4" xfId="62" applyNumberFormat="1" applyFont="1" applyBorder="1" applyAlignment="1">
      <alignment horizontal="center" vertical="center" wrapText="1"/>
    </xf>
    <xf numFmtId="2" fontId="10" fillId="0" borderId="0" xfId="0" applyNumberFormat="1" applyFont="1" applyAlignment="1">
      <alignment vertical="top"/>
    </xf>
    <xf numFmtId="0" fontId="10" fillId="0" borderId="24" xfId="16" applyFont="1" applyBorder="1">
      <alignment vertical="center"/>
    </xf>
    <xf numFmtId="2" fontId="27" fillId="0" borderId="4" xfId="62" applyNumberFormat="1" applyFont="1" applyBorder="1" applyAlignment="1">
      <alignment horizontal="center" vertical="center" wrapText="1"/>
    </xf>
    <xf numFmtId="0" fontId="10" fillId="0" borderId="0" xfId="185" applyFont="1" applyAlignment="1">
      <alignment vertical="center" wrapText="1"/>
    </xf>
    <xf numFmtId="0" fontId="10" fillId="0" borderId="24" xfId="184" applyFont="1" applyBorder="1" applyAlignment="1">
      <alignment vertical="center" wrapText="1"/>
    </xf>
    <xf numFmtId="2" fontId="11" fillId="0" borderId="0" xfId="0" applyNumberFormat="1" applyFont="1" applyAlignment="1">
      <alignment horizontal="center" vertical="center"/>
    </xf>
    <xf numFmtId="0" fontId="10" fillId="0" borderId="24" xfId="186" applyFont="1" applyBorder="1" applyAlignment="1">
      <alignment vertical="center" wrapText="1"/>
    </xf>
    <xf numFmtId="0" fontId="10" fillId="0" borderId="24" xfId="185" applyFont="1" applyBorder="1" applyAlignment="1">
      <alignment vertical="center" wrapText="1"/>
    </xf>
    <xf numFmtId="0" fontId="10" fillId="0" borderId="24" xfId="14" applyFont="1" applyBorder="1">
      <alignment vertical="center"/>
    </xf>
    <xf numFmtId="0" fontId="10" fillId="0" borderId="24" xfId="193" applyFont="1" applyBorder="1" applyAlignment="1">
      <alignment vertical="center" wrapText="1"/>
    </xf>
    <xf numFmtId="2" fontId="10" fillId="0" borderId="4" xfId="53" applyNumberFormat="1" applyFont="1" applyBorder="1" applyAlignment="1">
      <alignment horizontal="left" vertical="center"/>
    </xf>
    <xf numFmtId="2" fontId="0" fillId="0" borderId="0" xfId="0" applyNumberFormat="1"/>
    <xf numFmtId="2" fontId="10" fillId="0" borderId="4" xfId="15" applyNumberFormat="1" applyFont="1" applyBorder="1" applyAlignment="1">
      <alignment horizontal="right" vertical="center"/>
    </xf>
    <xf numFmtId="2" fontId="10" fillId="5" borderId="4" xfId="10" applyNumberFormat="1" applyFont="1" applyFill="1" applyBorder="1" applyAlignment="1">
      <alignment horizontal="right"/>
    </xf>
    <xf numFmtId="0" fontId="10" fillId="0" borderId="26" xfId="62" applyFont="1" applyBorder="1" applyAlignment="1">
      <alignment horizontal="center" vertical="top"/>
    </xf>
    <xf numFmtId="0" fontId="10" fillId="0" borderId="26" xfId="62" applyFont="1" applyBorder="1" applyAlignment="1">
      <alignment horizontal="left" vertical="top"/>
    </xf>
    <xf numFmtId="0" fontId="48" fillId="0" borderId="0" xfId="62" applyFont="1" applyAlignment="1">
      <alignment horizontal="centerContinuous"/>
    </xf>
    <xf numFmtId="2" fontId="10" fillId="0" borderId="4" xfId="62" applyNumberFormat="1" applyFont="1" applyBorder="1" applyAlignment="1">
      <alignment horizontal="right" vertical="top"/>
    </xf>
    <xf numFmtId="0" fontId="10" fillId="0" borderId="26" xfId="62" applyFont="1" applyBorder="1" applyAlignment="1">
      <alignment horizontal="right"/>
    </xf>
    <xf numFmtId="2" fontId="11" fillId="0" borderId="4" xfId="62" applyNumberFormat="1" applyFont="1" applyBorder="1" applyAlignment="1">
      <alignment horizontal="right" vertical="top"/>
    </xf>
    <xf numFmtId="2" fontId="10" fillId="0" borderId="4" xfId="62" applyNumberFormat="1" applyFont="1" applyBorder="1" applyAlignment="1">
      <alignment horizontal="right"/>
    </xf>
    <xf numFmtId="2" fontId="10" fillId="6" borderId="4" xfId="62" applyNumberFormat="1" applyFont="1" applyFill="1" applyBorder="1" applyAlignment="1">
      <alignment horizontal="right" vertical="top"/>
    </xf>
    <xf numFmtId="2" fontId="10" fillId="6" borderId="4" xfId="62" applyNumberFormat="1" applyFont="1" applyFill="1" applyBorder="1" applyAlignment="1">
      <alignment horizontal="right" vertical="top" wrapText="1"/>
    </xf>
    <xf numFmtId="2" fontId="10" fillId="0" borderId="4" xfId="62" applyNumberFormat="1" applyFont="1" applyBorder="1" applyAlignment="1">
      <alignment horizontal="right" vertical="top" wrapText="1"/>
    </xf>
    <xf numFmtId="2" fontId="10" fillId="0" borderId="26" xfId="62" applyNumberFormat="1" applyFont="1" applyBorder="1" applyAlignment="1">
      <alignment horizontal="right"/>
    </xf>
    <xf numFmtId="2" fontId="10" fillId="6" borderId="26" xfId="62" applyNumberFormat="1" applyFont="1" applyFill="1" applyBorder="1" applyAlignment="1">
      <alignment horizontal="right" vertical="top"/>
    </xf>
    <xf numFmtId="2" fontId="10" fillId="0" borderId="26" xfId="62" applyNumberFormat="1" applyFont="1" applyBorder="1" applyAlignment="1">
      <alignment horizontal="right" vertical="top"/>
    </xf>
    <xf numFmtId="2" fontId="14" fillId="0" borderId="4" xfId="62" applyNumberFormat="1" applyFont="1" applyBorder="1" applyAlignment="1">
      <alignment horizontal="right"/>
    </xf>
    <xf numFmtId="2" fontId="15" fillId="0" borderId="4" xfId="62" applyNumberFormat="1" applyFont="1" applyBorder="1" applyAlignment="1">
      <alignment horizontal="right"/>
    </xf>
    <xf numFmtId="10" fontId="11" fillId="0" borderId="0" xfId="62" applyNumberFormat="1" applyFont="1"/>
    <xf numFmtId="10" fontId="10" fillId="0" borderId="0" xfId="62" applyNumberFormat="1" applyFont="1" applyAlignment="1">
      <alignment vertical="top"/>
    </xf>
    <xf numFmtId="2" fontId="10" fillId="6" borderId="4" xfId="62" applyNumberFormat="1" applyFont="1" applyFill="1" applyBorder="1" applyAlignment="1">
      <alignment horizontal="right"/>
    </xf>
    <xf numFmtId="2" fontId="10" fillId="6" borderId="4" xfId="62" applyNumberFormat="1" applyFont="1" applyFill="1" applyBorder="1" applyAlignment="1">
      <alignment horizontal="right" wrapText="1"/>
    </xf>
    <xf numFmtId="2" fontId="10" fillId="6" borderId="26" xfId="62" applyNumberFormat="1" applyFont="1" applyFill="1" applyBorder="1" applyAlignment="1">
      <alignment horizontal="right"/>
    </xf>
    <xf numFmtId="0" fontId="11" fillId="0" borderId="4" xfId="62" applyFont="1" applyBorder="1" applyAlignment="1">
      <alignment horizontal="right"/>
    </xf>
    <xf numFmtId="2" fontId="11" fillId="0" borderId="4" xfId="62" applyNumberFormat="1" applyFont="1" applyBorder="1" applyAlignment="1">
      <alignment horizontal="right"/>
    </xf>
    <xf numFmtId="0" fontId="79" fillId="0" borderId="0" xfId="62" applyFont="1" applyAlignment="1">
      <alignment horizontal="left"/>
    </xf>
    <xf numFmtId="2" fontId="13" fillId="0" borderId="4" xfId="62" applyNumberFormat="1" applyFont="1" applyBorder="1"/>
    <xf numFmtId="0" fontId="80" fillId="0" borderId="0" xfId="0" applyFont="1" applyAlignment="1">
      <alignment vertical="center"/>
    </xf>
    <xf numFmtId="0" fontId="10" fillId="0" borderId="0" xfId="0" applyFont="1" applyAlignment="1">
      <alignment horizontal="right"/>
    </xf>
    <xf numFmtId="0" fontId="0" fillId="15" borderId="0" xfId="0" applyFill="1"/>
    <xf numFmtId="0" fontId="10" fillId="15" borderId="0" xfId="62" applyFont="1" applyFill="1" applyAlignment="1">
      <alignment horizontal="left" vertical="top"/>
    </xf>
    <xf numFmtId="0" fontId="11" fillId="15" borderId="4" xfId="62" applyFont="1" applyFill="1" applyBorder="1" applyAlignment="1">
      <alignment horizontal="left" vertical="top"/>
    </xf>
    <xf numFmtId="2" fontId="15" fillId="15" borderId="4" xfId="62" applyNumberFormat="1" applyFont="1" applyFill="1" applyBorder="1" applyAlignment="1">
      <alignment horizontal="left"/>
    </xf>
    <xf numFmtId="2" fontId="10" fillId="0" borderId="4" xfId="15" applyNumberFormat="1" applyFont="1" applyBorder="1" applyAlignment="1">
      <alignment horizontal="left" vertical="center"/>
    </xf>
    <xf numFmtId="2" fontId="10" fillId="15" borderId="0" xfId="0" applyNumberFormat="1" applyFont="1" applyFill="1"/>
    <xf numFmtId="2" fontId="81" fillId="0" borderId="4" xfId="0" applyNumberFormat="1" applyFont="1" applyBorder="1"/>
    <xf numFmtId="2" fontId="75" fillId="0" borderId="0" xfId="0" applyNumberFormat="1" applyFont="1"/>
    <xf numFmtId="0" fontId="82" fillId="55" borderId="27" xfId="0" applyFont="1" applyFill="1" applyBorder="1" applyAlignment="1">
      <alignment vertical="center" wrapText="1"/>
    </xf>
    <xf numFmtId="0" fontId="10" fillId="0" borderId="26" xfId="54" applyFont="1" applyBorder="1">
      <alignment vertical="center"/>
    </xf>
    <xf numFmtId="0" fontId="10" fillId="0" borderId="26" xfId="62" applyFont="1" applyBorder="1" applyAlignment="1">
      <alignment vertical="top" wrapText="1"/>
    </xf>
    <xf numFmtId="0" fontId="11" fillId="0" borderId="26" xfId="62" applyFont="1" applyBorder="1" applyAlignment="1">
      <alignment vertical="top" wrapText="1"/>
    </xf>
    <xf numFmtId="0" fontId="11" fillId="0" borderId="26" xfId="62" applyFont="1" applyBorder="1"/>
    <xf numFmtId="0" fontId="11" fillId="0" borderId="28" xfId="62" applyFont="1" applyBorder="1"/>
    <xf numFmtId="0" fontId="10" fillId="0" borderId="29" xfId="53" applyFont="1" applyBorder="1" applyAlignment="1">
      <alignment vertical="center" wrapText="1"/>
    </xf>
    <xf numFmtId="0" fontId="10" fillId="0" borderId="29" xfId="53" applyFont="1" applyBorder="1"/>
    <xf numFmtId="0" fontId="10" fillId="0" borderId="29" xfId="53" applyFont="1" applyBorder="1" applyAlignment="1">
      <alignment horizontal="center" vertical="center"/>
    </xf>
    <xf numFmtId="0" fontId="16" fillId="0" borderId="30" xfId="53" applyFont="1" applyBorder="1" applyAlignment="1">
      <alignment wrapText="1"/>
    </xf>
    <xf numFmtId="0" fontId="11" fillId="0" borderId="31" xfId="62" applyFont="1" applyBorder="1" applyAlignment="1">
      <alignment horizontal="left"/>
    </xf>
    <xf numFmtId="0" fontId="11" fillId="0" borderId="26" xfId="53" applyFont="1" applyBorder="1" applyAlignment="1">
      <alignment vertical="center" wrapText="1"/>
    </xf>
    <xf numFmtId="0" fontId="10" fillId="0" borderId="26" xfId="53" applyFont="1" applyBorder="1"/>
    <xf numFmtId="0" fontId="10" fillId="0" borderId="26" xfId="53" applyFont="1" applyBorder="1" applyAlignment="1">
      <alignment horizontal="center" vertical="center"/>
    </xf>
    <xf numFmtId="0" fontId="16" fillId="0" borderId="32" xfId="53" applyFont="1" applyBorder="1"/>
    <xf numFmtId="0" fontId="26" fillId="0" borderId="31" xfId="62" applyFont="1" applyBorder="1"/>
    <xf numFmtId="0" fontId="11" fillId="15" borderId="26" xfId="53" applyFont="1" applyFill="1" applyBorder="1" applyAlignment="1">
      <alignment vertical="center" wrapText="1"/>
    </xf>
    <xf numFmtId="0" fontId="10" fillId="15" borderId="26" xfId="53" applyFont="1" applyFill="1" applyBorder="1" applyAlignment="1">
      <alignment vertical="center" wrapText="1"/>
    </xf>
    <xf numFmtId="0" fontId="10" fillId="15" borderId="26" xfId="53" applyFont="1" applyFill="1" applyBorder="1" applyAlignment="1">
      <alignment horizontal="center" vertical="center" wrapText="1"/>
    </xf>
    <xf numFmtId="0" fontId="10" fillId="15" borderId="26" xfId="53" applyFont="1" applyFill="1" applyBorder="1" applyAlignment="1">
      <alignment horizontal="center" wrapText="1"/>
    </xf>
    <xf numFmtId="0" fontId="10" fillId="15" borderId="26" xfId="53" applyFont="1" applyFill="1" applyBorder="1" applyAlignment="1">
      <alignment horizontal="left" vertical="center" wrapText="1"/>
    </xf>
    <xf numFmtId="0" fontId="10" fillId="10" borderId="26" xfId="53" applyFont="1" applyFill="1" applyBorder="1" applyAlignment="1">
      <alignment horizontal="center" vertical="center" wrapText="1"/>
    </xf>
    <xf numFmtId="0" fontId="10" fillId="15" borderId="26" xfId="53" applyFont="1" applyFill="1" applyBorder="1"/>
    <xf numFmtId="0" fontId="16" fillId="15" borderId="32" xfId="53" applyFont="1" applyFill="1" applyBorder="1"/>
    <xf numFmtId="0" fontId="10" fillId="0" borderId="31" xfId="62" applyFont="1" applyBorder="1"/>
    <xf numFmtId="0" fontId="63" fillId="15" borderId="26" xfId="0" applyFont="1" applyFill="1" applyBorder="1" applyAlignment="1">
      <alignment vertical="center" wrapText="1"/>
    </xf>
    <xf numFmtId="0" fontId="10" fillId="15" borderId="26" xfId="53" applyFont="1" applyFill="1" applyBorder="1" applyAlignment="1">
      <alignment vertical="center"/>
    </xf>
    <xf numFmtId="0" fontId="10" fillId="15" borderId="26" xfId="53" applyFont="1" applyFill="1" applyBorder="1" applyAlignment="1">
      <alignment horizontal="center"/>
    </xf>
    <xf numFmtId="0" fontId="10" fillId="10" borderId="26" xfId="53" applyFont="1" applyFill="1" applyBorder="1" applyAlignment="1">
      <alignment horizontal="center" vertical="center"/>
    </xf>
    <xf numFmtId="0" fontId="10" fillId="15" borderId="26" xfId="53" applyFont="1" applyFill="1" applyBorder="1" applyAlignment="1">
      <alignment wrapText="1"/>
    </xf>
    <xf numFmtId="14" fontId="10" fillId="15" borderId="26" xfId="53" applyNumberFormat="1" applyFont="1" applyFill="1" applyBorder="1" applyAlignment="1">
      <alignment horizontal="center"/>
    </xf>
    <xf numFmtId="14" fontId="10" fillId="15" borderId="26" xfId="53" applyNumberFormat="1" applyFont="1" applyFill="1" applyBorder="1" applyAlignment="1">
      <alignment horizontal="center" vertical="center"/>
    </xf>
    <xf numFmtId="0" fontId="10" fillId="15" borderId="26" xfId="53" applyFont="1" applyFill="1" applyBorder="1" applyAlignment="1">
      <alignment horizontal="center" vertical="center"/>
    </xf>
    <xf numFmtId="0" fontId="10" fillId="0" borderId="26" xfId="53" applyFont="1" applyBorder="1" applyAlignment="1">
      <alignment horizontal="center"/>
    </xf>
    <xf numFmtId="0" fontId="10" fillId="0" borderId="33" xfId="62" applyFont="1" applyBorder="1"/>
    <xf numFmtId="0" fontId="11" fillId="0" borderId="5" xfId="53" applyFont="1" applyBorder="1" applyAlignment="1">
      <alignment vertical="center" wrapText="1"/>
    </xf>
    <xf numFmtId="0" fontId="10" fillId="0" borderId="5" xfId="53" applyFont="1" applyBorder="1"/>
    <xf numFmtId="0" fontId="10" fillId="0" borderId="5" xfId="53" applyFont="1" applyBorder="1" applyAlignment="1">
      <alignment horizontal="center"/>
    </xf>
    <xf numFmtId="0" fontId="10" fillId="0" borderId="5" xfId="53" applyFont="1" applyBorder="1" applyAlignment="1">
      <alignment horizontal="center" vertical="center"/>
    </xf>
    <xf numFmtId="0" fontId="16" fillId="0" borderId="34" xfId="53" applyFont="1" applyBorder="1"/>
    <xf numFmtId="0" fontId="11" fillId="0" borderId="29" xfId="53" applyFont="1" applyBorder="1" applyAlignment="1">
      <alignment vertical="center" wrapText="1"/>
    </xf>
    <xf numFmtId="0" fontId="10" fillId="0" borderId="29" xfId="53" applyFont="1" applyBorder="1" applyAlignment="1">
      <alignment horizontal="center"/>
    </xf>
    <xf numFmtId="0" fontId="16" fillId="0" borderId="30" xfId="53" applyFont="1" applyBorder="1"/>
    <xf numFmtId="0" fontId="11" fillId="0" borderId="31" xfId="62" applyFont="1" applyBorder="1"/>
    <xf numFmtId="0" fontId="63" fillId="0" borderId="26" xfId="0" applyFont="1" applyBorder="1" applyAlignment="1">
      <alignment vertical="center" wrapText="1"/>
    </xf>
    <xf numFmtId="0" fontId="0" fillId="0" borderId="26" xfId="0" applyBorder="1" applyAlignment="1">
      <alignment wrapText="1"/>
    </xf>
    <xf numFmtId="15" fontId="0" fillId="0" borderId="26" xfId="0" applyNumberFormat="1" applyBorder="1"/>
    <xf numFmtId="0" fontId="10" fillId="10" borderId="26" xfId="53" applyFont="1" applyFill="1" applyBorder="1" applyAlignment="1">
      <alignment horizontal="center"/>
    </xf>
    <xf numFmtId="0" fontId="67" fillId="0" borderId="0" xfId="53" applyFont="1"/>
    <xf numFmtId="0" fontId="83" fillId="0" borderId="31" xfId="62" applyFont="1" applyBorder="1"/>
    <xf numFmtId="0" fontId="84" fillId="15" borderId="26" xfId="0" applyFont="1" applyFill="1" applyBorder="1" applyAlignment="1">
      <alignment vertical="center" wrapText="1"/>
    </xf>
    <xf numFmtId="0" fontId="61" fillId="15" borderId="26" xfId="0" applyFont="1" applyFill="1" applyBorder="1" applyAlignment="1">
      <alignment wrapText="1"/>
    </xf>
    <xf numFmtId="15" fontId="61" fillId="15" borderId="26" xfId="0" applyNumberFormat="1" applyFont="1" applyFill="1" applyBorder="1"/>
    <xf numFmtId="0" fontId="67" fillId="15" borderId="26" xfId="53" applyFont="1" applyFill="1" applyBorder="1"/>
    <xf numFmtId="0" fontId="67" fillId="15" borderId="26" xfId="53" applyFont="1" applyFill="1" applyBorder="1" applyAlignment="1">
      <alignment horizontal="center"/>
    </xf>
    <xf numFmtId="0" fontId="67" fillId="15" borderId="26" xfId="53" applyFont="1" applyFill="1" applyBorder="1" applyAlignment="1">
      <alignment horizontal="center" vertical="center"/>
    </xf>
    <xf numFmtId="0" fontId="67" fillId="15" borderId="32" xfId="53" applyFont="1" applyFill="1" applyBorder="1"/>
    <xf numFmtId="0" fontId="0" fillId="15" borderId="26" xfId="0" applyFill="1" applyBorder="1" applyAlignment="1">
      <alignment wrapText="1"/>
    </xf>
    <xf numFmtId="15" fontId="0" fillId="15" borderId="26" xfId="0" applyNumberFormat="1" applyFill="1" applyBorder="1"/>
    <xf numFmtId="2" fontId="10" fillId="0" borderId="26" xfId="53" applyNumberFormat="1" applyFont="1" applyBorder="1" applyAlignment="1">
      <alignment horizontal="center"/>
    </xf>
    <xf numFmtId="2" fontId="10" fillId="10" borderId="26" xfId="53" applyNumberFormat="1" applyFont="1" applyFill="1" applyBorder="1" applyAlignment="1">
      <alignment horizontal="center"/>
    </xf>
    <xf numFmtId="0" fontId="67" fillId="10" borderId="26" xfId="53" applyFont="1" applyFill="1" applyBorder="1" applyAlignment="1">
      <alignment horizontal="center"/>
    </xf>
    <xf numFmtId="2" fontId="10" fillId="15" borderId="26" xfId="53" applyNumberFormat="1" applyFont="1" applyFill="1" applyBorder="1" applyAlignment="1">
      <alignment horizontal="center"/>
    </xf>
    <xf numFmtId="0" fontId="67" fillId="15" borderId="26" xfId="53" applyFont="1" applyFill="1" applyBorder="1" applyAlignment="1">
      <alignment wrapText="1"/>
    </xf>
    <xf numFmtId="0" fontId="67" fillId="15" borderId="26" xfId="53" applyFont="1" applyFill="1" applyBorder="1" applyAlignment="1">
      <alignment horizontal="left" vertical="center" wrapText="1"/>
    </xf>
    <xf numFmtId="0" fontId="85" fillId="15" borderId="26" xfId="0" applyFont="1" applyFill="1" applyBorder="1" applyAlignment="1">
      <alignment vertical="center" wrapText="1"/>
    </xf>
    <xf numFmtId="0" fontId="86" fillId="15" borderId="26" xfId="0" applyFont="1" applyFill="1" applyBorder="1" applyAlignment="1">
      <alignment wrapText="1"/>
    </xf>
    <xf numFmtId="15" fontId="86" fillId="15" borderId="26" xfId="0" applyNumberFormat="1" applyFont="1" applyFill="1" applyBorder="1"/>
    <xf numFmtId="15" fontId="86" fillId="15" borderId="26" xfId="0" applyNumberFormat="1" applyFont="1" applyFill="1" applyBorder="1" applyAlignment="1">
      <alignment wrapText="1"/>
    </xf>
    <xf numFmtId="17" fontId="87" fillId="15" borderId="26" xfId="53" applyNumberFormat="1" applyFont="1" applyFill="1" applyBorder="1" applyAlignment="1">
      <alignment horizontal="center" vertical="center"/>
    </xf>
    <xf numFmtId="0" fontId="87" fillId="15" borderId="26" xfId="53" applyFont="1" applyFill="1" applyBorder="1" applyAlignment="1">
      <alignment horizontal="center" vertical="center"/>
    </xf>
    <xf numFmtId="0" fontId="67" fillId="15" borderId="0" xfId="53" applyFont="1" applyFill="1"/>
    <xf numFmtId="15" fontId="61" fillId="15" borderId="32" xfId="0" applyNumberFormat="1" applyFont="1" applyFill="1" applyBorder="1"/>
    <xf numFmtId="17" fontId="10" fillId="15" borderId="26" xfId="53" applyNumberFormat="1" applyFont="1" applyFill="1" applyBorder="1" applyAlignment="1">
      <alignment horizontal="center" vertical="center"/>
    </xf>
    <xf numFmtId="0" fontId="0" fillId="15" borderId="26" xfId="0" applyFill="1" applyBorder="1" applyAlignment="1">
      <alignment vertical="center" wrapText="1"/>
    </xf>
    <xf numFmtId="0" fontId="0" fillId="0" borderId="26" xfId="0" applyBorder="1" applyAlignment="1">
      <alignment vertical="center" wrapText="1"/>
    </xf>
    <xf numFmtId="0" fontId="0" fillId="6" borderId="26" xfId="0" applyFill="1" applyBorder="1" applyAlignment="1">
      <alignment wrapText="1"/>
    </xf>
    <xf numFmtId="15" fontId="0" fillId="6" borderId="26" xfId="0" applyNumberFormat="1" applyFill="1" applyBorder="1"/>
    <xf numFmtId="0" fontId="10" fillId="6" borderId="26" xfId="53" applyFont="1" applyFill="1" applyBorder="1" applyAlignment="1">
      <alignment horizontal="center"/>
    </xf>
    <xf numFmtId="0" fontId="10" fillId="6" borderId="26" xfId="53" applyFont="1" applyFill="1" applyBorder="1" applyAlignment="1">
      <alignment horizontal="center" vertical="center"/>
    </xf>
    <xf numFmtId="0" fontId="10" fillId="6" borderId="26" xfId="53" applyFont="1" applyFill="1" applyBorder="1" applyAlignment="1">
      <alignment horizontal="center" vertical="center" wrapText="1"/>
    </xf>
    <xf numFmtId="0" fontId="10" fillId="6" borderId="26" xfId="53" applyFont="1" applyFill="1" applyBorder="1"/>
    <xf numFmtId="0" fontId="16" fillId="6" borderId="32" xfId="53" applyFont="1" applyFill="1" applyBorder="1"/>
    <xf numFmtId="0" fontId="0" fillId="0" borderId="5" xfId="0" applyBorder="1" applyAlignment="1">
      <alignment vertical="center" wrapText="1"/>
    </xf>
    <xf numFmtId="0" fontId="0" fillId="0" borderId="5" xfId="0" applyBorder="1" applyAlignment="1">
      <alignment wrapText="1"/>
    </xf>
    <xf numFmtId="15" fontId="0" fillId="0" borderId="5" xfId="0" applyNumberFormat="1" applyBorder="1"/>
    <xf numFmtId="0" fontId="10" fillId="10" borderId="5" xfId="53" applyFont="1" applyFill="1" applyBorder="1" applyAlignment="1">
      <alignment horizontal="center"/>
    </xf>
    <xf numFmtId="0" fontId="10" fillId="0" borderId="35" xfId="62" applyFont="1" applyBorder="1"/>
    <xf numFmtId="0" fontId="11" fillId="0" borderId="36" xfId="53" applyFont="1" applyBorder="1" applyAlignment="1">
      <alignment vertical="center" wrapText="1"/>
    </xf>
    <xf numFmtId="0" fontId="10" fillId="0" borderId="36" xfId="53" applyFont="1" applyBorder="1"/>
    <xf numFmtId="0" fontId="10" fillId="0" borderId="36" xfId="53" applyFont="1" applyBorder="1" applyAlignment="1">
      <alignment horizontal="center"/>
    </xf>
    <xf numFmtId="0" fontId="10" fillId="0" borderId="36" xfId="53" applyFont="1" applyBorder="1" applyAlignment="1">
      <alignment horizontal="center" vertical="center"/>
    </xf>
    <xf numFmtId="0" fontId="10" fillId="10" borderId="36" xfId="53" applyFont="1" applyFill="1" applyBorder="1" applyAlignment="1">
      <alignment horizontal="center"/>
    </xf>
    <xf numFmtId="0" fontId="16" fillId="0" borderId="37" xfId="53" applyFont="1" applyBorder="1"/>
    <xf numFmtId="0" fontId="10" fillId="0" borderId="38" xfId="62" applyFont="1" applyBorder="1"/>
    <xf numFmtId="0" fontId="63" fillId="56" borderId="26" xfId="0" applyFont="1" applyFill="1" applyBorder="1" applyAlignment="1">
      <alignment horizontal="left" vertical="top" wrapText="1"/>
    </xf>
    <xf numFmtId="0" fontId="10" fillId="0" borderId="7" xfId="53" applyFont="1" applyBorder="1"/>
    <xf numFmtId="0" fontId="10" fillId="0" borderId="7" xfId="53" applyFont="1" applyBorder="1" applyAlignment="1">
      <alignment horizontal="center"/>
    </xf>
    <xf numFmtId="0" fontId="10" fillId="0" borderId="7" xfId="53" applyFont="1" applyBorder="1" applyAlignment="1">
      <alignment horizontal="center" vertical="center"/>
    </xf>
    <xf numFmtId="0" fontId="10" fillId="56" borderId="26" xfId="53" applyFont="1" applyFill="1" applyBorder="1"/>
    <xf numFmtId="0" fontId="16" fillId="0" borderId="39" xfId="53" applyFont="1" applyBorder="1"/>
    <xf numFmtId="0" fontId="63" fillId="56" borderId="6" xfId="0" applyFont="1" applyFill="1" applyBorder="1" applyAlignment="1">
      <alignment horizontal="left" vertical="top" wrapText="1"/>
    </xf>
    <xf numFmtId="0" fontId="10" fillId="57" borderId="7" xfId="53" applyFont="1" applyFill="1" applyBorder="1" applyAlignment="1">
      <alignment horizontal="center"/>
    </xf>
    <xf numFmtId="0" fontId="10" fillId="0" borderId="28" xfId="62" applyFont="1" applyBorder="1"/>
    <xf numFmtId="0" fontId="63" fillId="15" borderId="0" xfId="0" applyFont="1" applyFill="1" applyAlignment="1">
      <alignment vertical="center" wrapText="1"/>
    </xf>
    <xf numFmtId="0" fontId="10" fillId="15" borderId="0" xfId="53" applyFont="1" applyFill="1" applyAlignment="1">
      <alignment horizontal="center"/>
    </xf>
    <xf numFmtId="0" fontId="10" fillId="15" borderId="0" xfId="53" applyFont="1" applyFill="1"/>
    <xf numFmtId="0" fontId="10" fillId="15" borderId="40" xfId="53" applyFont="1" applyFill="1" applyBorder="1"/>
    <xf numFmtId="0" fontId="10" fillId="15" borderId="32" xfId="53" applyFont="1" applyFill="1" applyBorder="1"/>
    <xf numFmtId="0" fontId="0" fillId="6" borderId="26" xfId="0" applyFill="1" applyBorder="1" applyAlignment="1">
      <alignment vertical="center" wrapText="1"/>
    </xf>
    <xf numFmtId="0" fontId="10" fillId="15" borderId="5" xfId="53" applyFont="1" applyFill="1" applyBorder="1"/>
    <xf numFmtId="0" fontId="10" fillId="15" borderId="5" xfId="53" applyFont="1" applyFill="1" applyBorder="1" applyAlignment="1">
      <alignment horizontal="center" vertical="center"/>
    </xf>
    <xf numFmtId="0" fontId="16" fillId="15" borderId="34" xfId="53" applyFont="1" applyFill="1" applyBorder="1"/>
    <xf numFmtId="0" fontId="88" fillId="15" borderId="26" xfId="0" applyFont="1" applyFill="1" applyBorder="1" applyAlignment="1">
      <alignment vertical="center" wrapText="1"/>
    </xf>
    <xf numFmtId="0" fontId="76" fillId="15" borderId="26" xfId="0" applyFont="1" applyFill="1" applyBorder="1" applyAlignment="1">
      <alignment wrapText="1"/>
    </xf>
    <xf numFmtId="15" fontId="76" fillId="15" borderId="26" xfId="0" applyNumberFormat="1" applyFont="1" applyFill="1" applyBorder="1"/>
    <xf numFmtId="0" fontId="10" fillId="15" borderId="34" xfId="53" applyFont="1" applyFill="1" applyBorder="1"/>
    <xf numFmtId="0" fontId="76" fillId="15" borderId="5" xfId="0" applyFont="1" applyFill="1" applyBorder="1" applyAlignment="1">
      <alignment wrapText="1"/>
    </xf>
    <xf numFmtId="15" fontId="76" fillId="15" borderId="5" xfId="0" applyNumberFormat="1" applyFont="1" applyFill="1" applyBorder="1"/>
    <xf numFmtId="0" fontId="10" fillId="57" borderId="5" xfId="53" applyFont="1" applyFill="1" applyBorder="1"/>
    <xf numFmtId="0" fontId="10" fillId="58" borderId="0" xfId="53" applyFont="1" applyFill="1"/>
    <xf numFmtId="0" fontId="10" fillId="58" borderId="28" xfId="62" applyFont="1" applyFill="1" applyBorder="1"/>
    <xf numFmtId="0" fontId="11" fillId="58" borderId="29" xfId="53" applyFont="1" applyFill="1" applyBorder="1" applyAlignment="1">
      <alignment vertical="center" wrapText="1"/>
    </xf>
    <xf numFmtId="0" fontId="10" fillId="58" borderId="29" xfId="53" applyFont="1" applyFill="1" applyBorder="1"/>
    <xf numFmtId="0" fontId="10" fillId="58" borderId="29" xfId="53" applyFont="1" applyFill="1" applyBorder="1" applyAlignment="1">
      <alignment horizontal="center" vertical="center"/>
    </xf>
    <xf numFmtId="0" fontId="16" fillId="58" borderId="30" xfId="53" applyFont="1" applyFill="1" applyBorder="1"/>
    <xf numFmtId="0" fontId="16" fillId="15" borderId="32" xfId="53" applyFont="1" applyFill="1" applyBorder="1" applyAlignment="1">
      <alignment horizontal="center" vertical="center"/>
    </xf>
    <xf numFmtId="15" fontId="10" fillId="15" borderId="26" xfId="53" applyNumberFormat="1" applyFont="1" applyFill="1" applyBorder="1"/>
    <xf numFmtId="0" fontId="10" fillId="6" borderId="31" xfId="53" applyFont="1" applyFill="1" applyBorder="1"/>
    <xf numFmtId="0" fontId="10" fillId="6" borderId="26" xfId="53" applyFont="1" applyFill="1" applyBorder="1" applyAlignment="1">
      <alignment vertical="center" wrapText="1"/>
    </xf>
    <xf numFmtId="0" fontId="10" fillId="0" borderId="26" xfId="53" applyFont="1" applyBorder="1" applyAlignment="1">
      <alignment vertical="center" wrapText="1"/>
    </xf>
    <xf numFmtId="0" fontId="10" fillId="0" borderId="26" xfId="53" applyFont="1" applyBorder="1" applyAlignment="1">
      <alignment wrapText="1"/>
    </xf>
    <xf numFmtId="0" fontId="11" fillId="57" borderId="26" xfId="53" applyFont="1" applyFill="1" applyBorder="1" applyAlignment="1">
      <alignment vertical="center" wrapText="1"/>
    </xf>
    <xf numFmtId="0" fontId="63" fillId="15" borderId="0" xfId="0" applyFont="1" applyFill="1" applyAlignment="1">
      <alignment horizontal="left" wrapText="1"/>
    </xf>
    <xf numFmtId="0" fontId="63" fillId="15" borderId="26" xfId="0" applyFont="1" applyFill="1" applyBorder="1" applyAlignment="1">
      <alignment horizontal="left" wrapText="1"/>
    </xf>
    <xf numFmtId="0" fontId="10" fillId="15" borderId="9" xfId="53" applyFont="1" applyFill="1" applyBorder="1"/>
    <xf numFmtId="0" fontId="63" fillId="15" borderId="26" xfId="0" applyFont="1" applyFill="1" applyBorder="1" applyAlignment="1">
      <alignment horizontal="left" vertical="center" wrapText="1"/>
    </xf>
    <xf numFmtId="0" fontId="10" fillId="15" borderId="9" xfId="53" applyFont="1" applyFill="1" applyBorder="1" applyAlignment="1">
      <alignment vertical="center"/>
    </xf>
    <xf numFmtId="0" fontId="63" fillId="6" borderId="26" xfId="0" applyFont="1" applyFill="1" applyBorder="1" applyAlignment="1">
      <alignment vertical="center" wrapText="1"/>
    </xf>
    <xf numFmtId="17" fontId="10" fillId="6" borderId="26" xfId="53" applyNumberFormat="1" applyFont="1" applyFill="1" applyBorder="1" applyAlignment="1">
      <alignment horizontal="center" vertical="center"/>
    </xf>
    <xf numFmtId="0" fontId="11" fillId="0" borderId="33" xfId="62" applyFont="1" applyBorder="1"/>
    <xf numFmtId="0" fontId="11" fillId="15" borderId="26" xfId="53" applyFont="1" applyFill="1" applyBorder="1" applyAlignment="1">
      <alignment horizontal="left" wrapText="1"/>
    </xf>
    <xf numFmtId="0" fontId="11" fillId="15" borderId="5" xfId="53" applyFont="1" applyFill="1" applyBorder="1" applyAlignment="1">
      <alignment horizontal="left" wrapText="1"/>
    </xf>
    <xf numFmtId="0" fontId="10" fillId="15" borderId="5" xfId="53" applyFont="1" applyFill="1" applyBorder="1" applyAlignment="1">
      <alignment wrapText="1"/>
    </xf>
    <xf numFmtId="0" fontId="11" fillId="0" borderId="35" xfId="62" applyFont="1" applyBorder="1"/>
    <xf numFmtId="0" fontId="88" fillId="15" borderId="36" xfId="0" applyFont="1" applyFill="1" applyBorder="1" applyAlignment="1">
      <alignment vertical="center" wrapText="1"/>
    </xf>
    <xf numFmtId="0" fontId="10" fillId="15" borderId="36" xfId="53" applyFont="1" applyFill="1" applyBorder="1" applyAlignment="1">
      <alignment horizontal="center" vertical="center" wrapText="1"/>
    </xf>
    <xf numFmtId="0" fontId="10" fillId="15" borderId="36" xfId="53" applyFont="1" applyFill="1" applyBorder="1" applyAlignment="1">
      <alignment horizontal="center" vertical="center"/>
    </xf>
    <xf numFmtId="0" fontId="10" fillId="15" borderId="36" xfId="53" applyFont="1" applyFill="1" applyBorder="1" applyAlignment="1">
      <alignment vertical="center" wrapText="1"/>
    </xf>
    <xf numFmtId="17" fontId="10" fillId="15" borderId="36" xfId="53" applyNumberFormat="1" applyFont="1" applyFill="1" applyBorder="1" applyAlignment="1">
      <alignment horizontal="center" vertical="center"/>
    </xf>
    <xf numFmtId="0" fontId="10" fillId="15" borderId="36" xfId="53" applyFont="1" applyFill="1" applyBorder="1"/>
    <xf numFmtId="0" fontId="16" fillId="15" borderId="37" xfId="53" applyFont="1" applyFill="1" applyBorder="1"/>
    <xf numFmtId="0" fontId="10" fillId="0" borderId="41" xfId="62" applyFont="1" applyBorder="1" applyAlignment="1">
      <alignment horizontal="left"/>
    </xf>
    <xf numFmtId="0" fontId="11" fillId="0" borderId="6" xfId="53" applyFont="1" applyBorder="1" applyAlignment="1">
      <alignment vertical="center" wrapText="1"/>
    </xf>
    <xf numFmtId="0" fontId="10" fillId="0" borderId="6" xfId="53" applyFont="1" applyBorder="1"/>
    <xf numFmtId="0" fontId="10" fillId="0" borderId="6" xfId="53" applyFont="1" applyBorder="1" applyAlignment="1">
      <alignment horizontal="center" vertical="center"/>
    </xf>
    <xf numFmtId="0" fontId="16" fillId="0" borderId="42" xfId="53" applyFont="1" applyBorder="1"/>
    <xf numFmtId="0" fontId="11" fillId="0" borderId="26" xfId="53" applyFont="1" applyBorder="1"/>
    <xf numFmtId="0" fontId="11" fillId="0" borderId="26" xfId="53" applyFont="1" applyBorder="1" applyAlignment="1">
      <alignment horizontal="center" vertical="center"/>
    </xf>
    <xf numFmtId="0" fontId="11" fillId="14" borderId="26" xfId="53" applyFont="1" applyFill="1" applyBorder="1"/>
    <xf numFmtId="0" fontId="18" fillId="0" borderId="32" xfId="53" applyFont="1" applyBorder="1"/>
    <xf numFmtId="15" fontId="10" fillId="0" borderId="26" xfId="53" applyNumberFormat="1" applyFont="1" applyBorder="1"/>
    <xf numFmtId="0" fontId="0" fillId="0" borderId="0" xfId="0" applyAlignment="1">
      <alignment vertical="center" wrapText="1"/>
    </xf>
    <xf numFmtId="0" fontId="11" fillId="6" borderId="26" xfId="53" applyFont="1" applyFill="1" applyBorder="1" applyAlignment="1">
      <alignment vertical="center" wrapText="1"/>
    </xf>
    <xf numFmtId="0" fontId="11" fillId="6" borderId="26" xfId="53" applyFont="1" applyFill="1" applyBorder="1" applyAlignment="1">
      <alignment vertical="center"/>
    </xf>
    <xf numFmtId="0" fontId="10" fillId="6" borderId="26" xfId="53" applyFont="1" applyFill="1" applyBorder="1" applyAlignment="1">
      <alignment vertical="center"/>
    </xf>
    <xf numFmtId="0" fontId="10" fillId="6" borderId="26" xfId="53" applyFont="1" applyFill="1" applyBorder="1" applyAlignment="1">
      <alignment wrapText="1"/>
    </xf>
    <xf numFmtId="0" fontId="11" fillId="6" borderId="26" xfId="53" applyFont="1" applyFill="1" applyBorder="1" applyAlignment="1">
      <alignment horizontal="left" wrapText="1"/>
    </xf>
    <xf numFmtId="0" fontId="11" fillId="6" borderId="26" xfId="53" applyFont="1" applyFill="1" applyBorder="1"/>
    <xf numFmtId="0" fontId="11" fillId="6" borderId="26" xfId="53" applyFont="1" applyFill="1" applyBorder="1" applyAlignment="1">
      <alignment horizontal="center" vertical="center"/>
    </xf>
    <xf numFmtId="0" fontId="83" fillId="6" borderId="32" xfId="53" applyFont="1" applyFill="1" applyBorder="1"/>
    <xf numFmtId="0" fontId="10" fillId="14" borderId="26" xfId="53" applyFont="1" applyFill="1" applyBorder="1"/>
    <xf numFmtId="0" fontId="10" fillId="6" borderId="26" xfId="53" applyFont="1" applyFill="1" applyBorder="1" applyAlignment="1">
      <alignment horizontal="left" vertical="center" wrapText="1"/>
    </xf>
    <xf numFmtId="0" fontId="76" fillId="6" borderId="26" xfId="0" applyFont="1" applyFill="1" applyBorder="1" applyAlignment="1">
      <alignment vertical="center" wrapText="1"/>
    </xf>
    <xf numFmtId="0" fontId="10" fillId="14" borderId="36" xfId="53" applyFont="1" applyFill="1" applyBorder="1"/>
    <xf numFmtId="0" fontId="10" fillId="0" borderId="28" xfId="62" applyFont="1" applyBorder="1" applyAlignment="1">
      <alignment horizontal="left"/>
    </xf>
    <xf numFmtId="0" fontId="10" fillId="14" borderId="29" xfId="53" applyFont="1" applyFill="1" applyBorder="1"/>
    <xf numFmtId="17" fontId="10" fillId="6" borderId="26" xfId="53" applyNumberFormat="1" applyFont="1" applyFill="1" applyBorder="1" applyAlignment="1">
      <alignment horizontal="center" vertical="center" wrapText="1"/>
    </xf>
    <xf numFmtId="0" fontId="10" fillId="6" borderId="0" xfId="53" applyFont="1" applyFill="1" applyAlignment="1">
      <alignment vertical="center" wrapText="1"/>
    </xf>
    <xf numFmtId="0" fontId="10" fillId="14" borderId="5" xfId="53" applyFont="1" applyFill="1" applyBorder="1"/>
    <xf numFmtId="0" fontId="11" fillId="0" borderId="35" xfId="62" applyFont="1" applyBorder="1" applyAlignment="1">
      <alignment horizontal="left"/>
    </xf>
    <xf numFmtId="0" fontId="11" fillId="0" borderId="28" xfId="62" applyFont="1" applyBorder="1" applyAlignment="1">
      <alignment horizontal="left"/>
    </xf>
    <xf numFmtId="0" fontId="10" fillId="0" borderId="26" xfId="53" applyFont="1" applyBorder="1" applyAlignment="1">
      <alignment horizontal="left" wrapText="1"/>
    </xf>
    <xf numFmtId="0" fontId="10" fillId="0" borderId="6" xfId="62" applyFont="1" applyBorder="1"/>
    <xf numFmtId="0" fontId="10" fillId="0" borderId="6" xfId="53" applyFont="1" applyBorder="1" applyAlignment="1">
      <alignment vertical="center" wrapText="1"/>
    </xf>
    <xf numFmtId="0" fontId="10" fillId="14" borderId="6" xfId="53" applyFont="1" applyFill="1" applyBorder="1"/>
    <xf numFmtId="0" fontId="16" fillId="0" borderId="6" xfId="53" applyFont="1" applyBorder="1"/>
    <xf numFmtId="0" fontId="10" fillId="0" borderId="26" xfId="62" applyFont="1" applyBorder="1"/>
    <xf numFmtId="0" fontId="16" fillId="0" borderId="26" xfId="53" applyFont="1" applyBorder="1"/>
    <xf numFmtId="0" fontId="11" fillId="8" borderId="26" xfId="53" applyFont="1" applyFill="1" applyBorder="1"/>
    <xf numFmtId="0" fontId="10" fillId="8" borderId="26" xfId="53" applyFont="1" applyFill="1" applyBorder="1" applyAlignment="1">
      <alignment vertical="center" wrapText="1"/>
    </xf>
    <xf numFmtId="0" fontId="10" fillId="8" borderId="26" xfId="53" applyFont="1" applyFill="1" applyBorder="1"/>
    <xf numFmtId="0" fontId="10" fillId="8" borderId="26" xfId="53" applyFont="1" applyFill="1" applyBorder="1" applyAlignment="1">
      <alignment horizontal="center" vertical="center"/>
    </xf>
    <xf numFmtId="0" fontId="16" fillId="8" borderId="26" xfId="53" applyFont="1" applyFill="1" applyBorder="1"/>
    <xf numFmtId="0" fontId="11" fillId="0" borderId="0" xfId="53" applyFont="1" applyAlignment="1">
      <alignment horizontal="centerContinuous" wrapText="1"/>
    </xf>
    <xf numFmtId="0" fontId="11" fillId="4" borderId="26" xfId="62" applyFont="1" applyFill="1" applyBorder="1" applyAlignment="1">
      <alignment horizontal="center" vertical="center" wrapText="1"/>
    </xf>
    <xf numFmtId="0" fontId="11" fillId="4" borderId="26" xfId="54" applyFont="1" applyFill="1" applyBorder="1" applyAlignment="1">
      <alignment horizontal="center" vertical="center" wrapText="1"/>
    </xf>
    <xf numFmtId="0" fontId="11" fillId="58" borderId="26" xfId="53" applyFont="1" applyFill="1" applyBorder="1"/>
    <xf numFmtId="0" fontId="11" fillId="58" borderId="28" xfId="62" applyFont="1" applyFill="1" applyBorder="1"/>
    <xf numFmtId="0" fontId="10" fillId="58" borderId="29" xfId="53" applyFont="1" applyFill="1" applyBorder="1" applyAlignment="1">
      <alignment vertical="center" wrapText="1"/>
    </xf>
    <xf numFmtId="0" fontId="10" fillId="58" borderId="26" xfId="53" applyFont="1" applyFill="1" applyBorder="1" applyAlignment="1">
      <alignment horizontal="center" vertical="center"/>
    </xf>
    <xf numFmtId="0" fontId="10" fillId="0" borderId="26" xfId="53" applyFont="1" applyBorder="1" applyAlignment="1">
      <alignment horizontal="center" vertical="center" wrapText="1"/>
    </xf>
    <xf numFmtId="9" fontId="10" fillId="0" borderId="26" xfId="53" applyNumberFormat="1" applyFont="1" applyBorder="1" applyAlignment="1">
      <alignment horizontal="center" vertical="center"/>
    </xf>
    <xf numFmtId="0" fontId="67" fillId="0" borderId="31" xfId="62" applyFont="1" applyBorder="1"/>
    <xf numFmtId="0" fontId="84" fillId="0" borderId="26" xfId="0" applyFont="1" applyBorder="1" applyAlignment="1">
      <alignment vertical="center" wrapText="1"/>
    </xf>
    <xf numFmtId="0" fontId="67" fillId="0" borderId="26" xfId="53" applyFont="1" applyBorder="1" applyAlignment="1">
      <alignment vertical="center" wrapText="1"/>
    </xf>
    <xf numFmtId="0" fontId="67" fillId="0" borderId="26" xfId="53" applyFont="1" applyBorder="1" applyAlignment="1">
      <alignment vertical="center"/>
    </xf>
    <xf numFmtId="2" fontId="67" fillId="0" borderId="26" xfId="53" applyNumberFormat="1" applyFont="1" applyBorder="1" applyAlignment="1">
      <alignment horizontal="center" vertical="center" wrapText="1"/>
    </xf>
    <xf numFmtId="0" fontId="67" fillId="0" borderId="26" xfId="53" applyFont="1" applyBorder="1" applyAlignment="1">
      <alignment horizontal="center"/>
    </xf>
    <xf numFmtId="10" fontId="10" fillId="0" borderId="26" xfId="53" applyNumberFormat="1" applyFont="1" applyBorder="1" applyAlignment="1">
      <alignment horizontal="center"/>
    </xf>
    <xf numFmtId="10" fontId="10" fillId="0" borderId="26" xfId="53" applyNumberFormat="1" applyFont="1" applyBorder="1"/>
    <xf numFmtId="14" fontId="10" fillId="0" borderId="26" xfId="53" applyNumberFormat="1" applyFont="1" applyBorder="1" applyAlignment="1">
      <alignment horizontal="center"/>
    </xf>
    <xf numFmtId="2" fontId="10" fillId="0" borderId="26" xfId="53" applyNumberFormat="1" applyFont="1" applyBorder="1" applyAlignment="1">
      <alignment horizontal="center" vertical="center"/>
    </xf>
    <xf numFmtId="14" fontId="10" fillId="0" borderId="26" xfId="53" applyNumberFormat="1" applyFont="1" applyBorder="1" applyAlignment="1">
      <alignment horizontal="center" vertical="center"/>
    </xf>
    <xf numFmtId="0" fontId="67" fillId="0" borderId="26" xfId="53" applyFont="1" applyBorder="1" applyAlignment="1">
      <alignment horizontal="center" vertical="center"/>
    </xf>
    <xf numFmtId="0" fontId="83" fillId="0" borderId="26" xfId="53" applyFont="1" applyBorder="1"/>
    <xf numFmtId="9" fontId="67" fillId="0" borderId="26" xfId="53" applyNumberFormat="1" applyFont="1" applyBorder="1" applyAlignment="1">
      <alignment horizontal="center" vertical="center"/>
    </xf>
    <xf numFmtId="0" fontId="67" fillId="0" borderId="26" xfId="53" applyFont="1" applyBorder="1"/>
    <xf numFmtId="0" fontId="67" fillId="0" borderId="26" xfId="53" applyFont="1" applyBorder="1" applyAlignment="1">
      <alignment horizontal="center" vertical="center" wrapText="1"/>
    </xf>
    <xf numFmtId="17" fontId="67" fillId="0" borderId="26" xfId="53" applyNumberFormat="1" applyFont="1" applyBorder="1" applyAlignment="1">
      <alignment horizontal="center" vertical="center"/>
    </xf>
    <xf numFmtId="0" fontId="67" fillId="0" borderId="0" xfId="53" applyFont="1" applyAlignment="1">
      <alignment horizontal="center" vertical="center"/>
    </xf>
    <xf numFmtId="0" fontId="88" fillId="0" borderId="26" xfId="0" applyFont="1" applyBorder="1" applyAlignment="1">
      <alignment vertical="center" wrapText="1"/>
    </xf>
    <xf numFmtId="17" fontId="10" fillId="0" borderId="26" xfId="53" applyNumberFormat="1" applyFont="1" applyBorder="1" applyAlignment="1">
      <alignment horizontal="center" vertical="center"/>
    </xf>
    <xf numFmtId="0" fontId="10" fillId="0" borderId="26" xfId="53" applyFont="1" applyBorder="1" applyAlignment="1">
      <alignment horizontal="left" vertical="center" wrapText="1"/>
    </xf>
    <xf numFmtId="0" fontId="10" fillId="0" borderId="26" xfId="53" applyFont="1" applyBorder="1" applyAlignment="1">
      <alignment vertical="top"/>
    </xf>
    <xf numFmtId="0" fontId="63" fillId="0" borderId="26" xfId="0" applyFont="1" applyBorder="1" applyAlignment="1">
      <alignment horizontal="left" vertical="top" wrapText="1"/>
    </xf>
    <xf numFmtId="0" fontId="10" fillId="0" borderId="26" xfId="53" applyFont="1" applyBorder="1" applyAlignment="1">
      <alignment vertical="top" wrapText="1"/>
    </xf>
    <xf numFmtId="0" fontId="10" fillId="0" borderId="26" xfId="53" applyFont="1" applyBorder="1" applyAlignment="1">
      <alignment horizontal="right"/>
    </xf>
    <xf numFmtId="9" fontId="10" fillId="0" borderId="26" xfId="53" applyNumberFormat="1" applyFont="1" applyBorder="1"/>
    <xf numFmtId="0" fontId="26" fillId="0" borderId="31" xfId="62" applyFont="1" applyBorder="1" applyAlignment="1">
      <alignment vertical="top"/>
    </xf>
    <xf numFmtId="0" fontId="63" fillId="0" borderId="0" xfId="0" applyFont="1" applyAlignment="1">
      <alignment vertical="center" wrapText="1"/>
    </xf>
    <xf numFmtId="0" fontId="11" fillId="0" borderId="26" xfId="0" applyFont="1" applyBorder="1" applyAlignment="1">
      <alignment vertical="center" wrapText="1"/>
    </xf>
    <xf numFmtId="0" fontId="10" fillId="0" borderId="26" xfId="0" applyFont="1" applyBorder="1" applyAlignment="1">
      <alignment wrapText="1"/>
    </xf>
    <xf numFmtId="0" fontId="10" fillId="0" borderId="26" xfId="0" applyFont="1" applyBorder="1"/>
    <xf numFmtId="0" fontId="10" fillId="0" borderId="26" xfId="0" applyFont="1" applyBorder="1" applyAlignment="1">
      <alignment horizontal="center" vertical="center"/>
    </xf>
    <xf numFmtId="14" fontId="10" fillId="0" borderId="26" xfId="0" applyNumberFormat="1" applyFont="1" applyBorder="1"/>
    <xf numFmtId="9" fontId="10" fillId="0" borderId="26" xfId="0" applyNumberFormat="1" applyFont="1" applyBorder="1" applyAlignment="1">
      <alignment horizontal="center" vertical="center"/>
    </xf>
    <xf numFmtId="0" fontId="10" fillId="0" borderId="26" xfId="53" applyFont="1" applyBorder="1" applyAlignment="1">
      <alignment horizontal="left"/>
    </xf>
    <xf numFmtId="0" fontId="63" fillId="0" borderId="26" xfId="0" applyFont="1" applyBorder="1" applyAlignment="1">
      <alignment horizontal="left" wrapText="1"/>
    </xf>
    <xf numFmtId="0" fontId="63" fillId="0" borderId="26" xfId="0" applyFont="1" applyBorder="1" applyAlignment="1">
      <alignment horizontal="left" vertical="center" wrapText="1"/>
    </xf>
    <xf numFmtId="0" fontId="10" fillId="0" borderId="26" xfId="53" applyFont="1" applyBorder="1" applyAlignment="1">
      <alignment vertical="center"/>
    </xf>
    <xf numFmtId="0" fontId="10" fillId="0" borderId="26" xfId="53" applyFont="1" applyBorder="1" applyAlignment="1">
      <alignment horizontal="right" vertical="center"/>
    </xf>
    <xf numFmtId="0" fontId="88" fillId="0" borderId="26" xfId="0" applyFont="1" applyBorder="1" applyAlignment="1">
      <alignment horizontal="left" wrapText="1"/>
    </xf>
    <xf numFmtId="0" fontId="83" fillId="0" borderId="26" xfId="53" applyFont="1" applyBorder="1" applyAlignment="1">
      <alignment horizontal="left" wrapText="1"/>
    </xf>
    <xf numFmtId="0" fontId="10" fillId="0" borderId="5" xfId="53" applyFont="1" applyBorder="1" applyAlignment="1">
      <alignment horizontal="right"/>
    </xf>
    <xf numFmtId="0" fontId="11" fillId="0" borderId="5" xfId="53" applyFont="1" applyBorder="1" applyAlignment="1">
      <alignment horizontal="left" wrapText="1"/>
    </xf>
    <xf numFmtId="0" fontId="88" fillId="0" borderId="36" xfId="0" applyFont="1" applyBorder="1" applyAlignment="1">
      <alignment horizontal="left" vertical="center" wrapText="1"/>
    </xf>
    <xf numFmtId="0" fontId="10" fillId="0" borderId="36" xfId="53" applyFont="1" applyBorder="1" applyAlignment="1">
      <alignment horizontal="right"/>
    </xf>
    <xf numFmtId="0" fontId="10" fillId="0" borderId="0" xfId="53" applyFont="1" applyAlignment="1">
      <alignment vertical="top"/>
    </xf>
    <xf numFmtId="0" fontId="11" fillId="0" borderId="26" xfId="53" applyFont="1" applyBorder="1" applyAlignment="1">
      <alignment vertical="top"/>
    </xf>
    <xf numFmtId="0" fontId="10" fillId="0" borderId="31" xfId="62" applyFont="1" applyBorder="1" applyAlignment="1">
      <alignment vertical="top"/>
    </xf>
    <xf numFmtId="0" fontId="63" fillId="0" borderId="0" xfId="0" applyFont="1" applyAlignment="1">
      <alignment horizontal="left" vertical="top" wrapText="1"/>
    </xf>
    <xf numFmtId="2" fontId="10" fillId="0" borderId="26" xfId="53" applyNumberFormat="1" applyFont="1" applyBorder="1" applyAlignment="1">
      <alignment horizontal="right" vertical="top"/>
    </xf>
    <xf numFmtId="0" fontId="30" fillId="0" borderId="26" xfId="53" applyFont="1" applyBorder="1" applyAlignment="1">
      <alignment vertical="center" wrapText="1"/>
    </xf>
    <xf numFmtId="0" fontId="83" fillId="0" borderId="26" xfId="53" applyFont="1" applyBorder="1" applyAlignment="1">
      <alignment vertical="center" wrapText="1"/>
    </xf>
    <xf numFmtId="10" fontId="10" fillId="0" borderId="26" xfId="53" applyNumberFormat="1" applyFont="1" applyBorder="1" applyAlignment="1">
      <alignment horizontal="center" vertical="center"/>
    </xf>
    <xf numFmtId="0" fontId="10" fillId="0" borderId="26" xfId="62" applyFont="1" applyBorder="1" applyAlignment="1">
      <alignment wrapText="1"/>
    </xf>
    <xf numFmtId="0" fontId="76" fillId="0" borderId="26" xfId="0" applyFont="1" applyBorder="1" applyAlignment="1">
      <alignment vertical="center" wrapText="1"/>
    </xf>
    <xf numFmtId="0" fontId="76" fillId="0" borderId="5" xfId="0" applyFont="1" applyBorder="1" applyAlignment="1">
      <alignment vertical="center" wrapText="1"/>
    </xf>
    <xf numFmtId="0" fontId="11" fillId="0" borderId="7" xfId="53" applyFont="1" applyBorder="1" applyAlignment="1">
      <alignment vertical="center" wrapText="1"/>
    </xf>
    <xf numFmtId="0" fontId="89" fillId="0" borderId="31" xfId="62" applyFont="1" applyBorder="1"/>
    <xf numFmtId="0" fontId="29" fillId="0" borderId="26" xfId="53" applyFont="1" applyBorder="1" applyAlignment="1">
      <alignment horizontal="center" vertical="center"/>
    </xf>
    <xf numFmtId="0" fontId="83" fillId="0" borderId="31" xfId="62" applyFont="1" applyBorder="1" applyAlignment="1">
      <alignment horizontal="left"/>
    </xf>
    <xf numFmtId="10" fontId="67" fillId="0" borderId="26" xfId="53" applyNumberFormat="1" applyFont="1" applyBorder="1" applyAlignment="1">
      <alignment horizontal="center" vertical="center"/>
    </xf>
    <xf numFmtId="0" fontId="10" fillId="0" borderId="41" xfId="62" applyFont="1" applyBorder="1"/>
    <xf numFmtId="0" fontId="11" fillId="0" borderId="33" xfId="62" applyFont="1" applyBorder="1" applyAlignment="1">
      <alignment horizontal="left"/>
    </xf>
    <xf numFmtId="0" fontId="10" fillId="0" borderId="11" xfId="62" applyFont="1" applyBorder="1"/>
    <xf numFmtId="2" fontId="10" fillId="0" borderId="26" xfId="53" applyNumberFormat="1" applyFont="1" applyBorder="1"/>
    <xf numFmtId="2" fontId="10" fillId="0" borderId="0" xfId="53" applyNumberFormat="1" applyFont="1"/>
    <xf numFmtId="2" fontId="10" fillId="15" borderId="4" xfId="62" applyNumberFormat="1" applyFont="1" applyFill="1" applyBorder="1" applyAlignment="1">
      <alignment horizontal="right" vertical="top"/>
    </xf>
    <xf numFmtId="2" fontId="11" fillId="0" borderId="4" xfId="62" applyNumberFormat="1" applyFont="1" applyBorder="1" applyAlignment="1">
      <alignment horizontal="left" vertical="top"/>
    </xf>
    <xf numFmtId="0" fontId="10" fillId="59" borderId="0" xfId="53" applyFont="1" applyFill="1"/>
    <xf numFmtId="0" fontId="10" fillId="0" borderId="26" xfId="53" applyFont="1" applyBorder="1" applyAlignment="1" applyProtection="1">
      <alignment vertical="center" wrapText="1"/>
      <protection locked="0"/>
    </xf>
    <xf numFmtId="0" fontId="76" fillId="0" borderId="6" xfId="0" applyFont="1" applyBorder="1" applyAlignment="1">
      <alignment vertical="center" wrapText="1"/>
    </xf>
    <xf numFmtId="0" fontId="11" fillId="0" borderId="5" xfId="53" applyFont="1" applyBorder="1" applyAlignment="1">
      <alignment wrapText="1"/>
    </xf>
    <xf numFmtId="165" fontId="10" fillId="0" borderId="31" xfId="205" applyFont="1" applyBorder="1"/>
    <xf numFmtId="0" fontId="0" fillId="0" borderId="26" xfId="0" applyBorder="1" applyAlignment="1">
      <alignment horizontal="center"/>
    </xf>
    <xf numFmtId="0" fontId="9" fillId="0" borderId="26" xfId="0" applyFont="1" applyBorder="1" applyAlignment="1">
      <alignment wrapText="1"/>
    </xf>
    <xf numFmtId="0" fontId="0" fillId="0" borderId="26" xfId="0" applyBorder="1"/>
    <xf numFmtId="0" fontId="11" fillId="7" borderId="26" xfId="0" applyFont="1" applyFill="1" applyBorder="1" applyAlignment="1">
      <alignment horizontal="center" vertical="center" wrapText="1"/>
    </xf>
    <xf numFmtId="0" fontId="11" fillId="7" borderId="26" xfId="0" applyFont="1" applyFill="1" applyBorder="1" applyAlignment="1">
      <alignment horizontal="center" vertical="center"/>
    </xf>
    <xf numFmtId="0" fontId="0" fillId="19" borderId="26" xfId="0" applyFill="1" applyBorder="1"/>
    <xf numFmtId="0" fontId="43" fillId="0" borderId="26" xfId="0" applyFont="1" applyBorder="1" applyAlignment="1">
      <alignment vertical="center" wrapText="1"/>
    </xf>
    <xf numFmtId="0" fontId="11" fillId="0" borderId="9" xfId="53" applyFont="1" applyBorder="1"/>
    <xf numFmtId="0" fontId="26" fillId="0" borderId="26" xfId="62" applyFont="1" applyBorder="1"/>
    <xf numFmtId="0" fontId="11" fillId="0" borderId="6" xfId="0" applyFont="1" applyBorder="1" applyAlignment="1">
      <alignment vertical="center" wrapText="1"/>
    </xf>
    <xf numFmtId="10" fontId="34" fillId="6" borderId="4" xfId="117" applyNumberFormat="1" applyFont="1" applyFill="1" applyBorder="1" applyAlignment="1">
      <alignment horizontal="right"/>
    </xf>
    <xf numFmtId="0" fontId="11" fillId="0" borderId="0" xfId="14" applyFont="1" applyAlignment="1">
      <alignment horizontal="center" vertical="center"/>
    </xf>
    <xf numFmtId="0" fontId="11" fillId="0" borderId="0" xfId="0" applyFont="1" applyAlignment="1">
      <alignment horizontal="center" vertical="center" wrapText="1"/>
    </xf>
    <xf numFmtId="0" fontId="11" fillId="4" borderId="4" xfId="14" applyFont="1" applyFill="1" applyBorder="1" applyAlignment="1">
      <alignment horizontal="center" vertical="center" wrapText="1"/>
    </xf>
    <xf numFmtId="0" fontId="27" fillId="0" borderId="4" xfId="0" applyFont="1" applyBorder="1" applyAlignment="1">
      <alignment horizontal="center" vertical="center" wrapText="1"/>
    </xf>
    <xf numFmtId="0" fontId="11" fillId="4" borderId="4" xfId="14" applyFont="1" applyFill="1" applyBorder="1" applyAlignment="1">
      <alignment horizontal="center" vertical="center"/>
    </xf>
    <xf numFmtId="0" fontId="27" fillId="0" borderId="4" xfId="0" applyFont="1" applyBorder="1" applyAlignment="1">
      <alignment horizontal="center" vertical="center"/>
    </xf>
    <xf numFmtId="0" fontId="11" fillId="4" borderId="4" xfId="54" applyFont="1" applyFill="1" applyBorder="1" applyAlignment="1">
      <alignment horizontal="center" vertical="center" wrapText="1"/>
    </xf>
    <xf numFmtId="0" fontId="9" fillId="0" borderId="4" xfId="62" applyBorder="1" applyAlignment="1">
      <alignment horizontal="center" vertical="center" wrapText="1"/>
    </xf>
    <xf numFmtId="0" fontId="11" fillId="4" borderId="5" xfId="15" applyFont="1" applyFill="1" applyBorder="1" applyAlignment="1">
      <alignment horizontal="center" vertical="center" wrapText="1"/>
    </xf>
    <xf numFmtId="0" fontId="11" fillId="4" borderId="7" xfId="15" applyFont="1" applyFill="1" applyBorder="1" applyAlignment="1">
      <alignment horizontal="center" vertical="center" wrapText="1"/>
    </xf>
    <xf numFmtId="0" fontId="27" fillId="0" borderId="6" xfId="10" applyFont="1" applyBorder="1" applyAlignment="1">
      <alignment horizontal="center" vertical="center" wrapText="1"/>
    </xf>
    <xf numFmtId="0" fontId="11" fillId="4" borderId="4" xfId="15" applyFont="1" applyFill="1" applyBorder="1" applyAlignment="1">
      <alignment horizontal="center" vertical="center" wrapText="1"/>
    </xf>
    <xf numFmtId="0" fontId="27" fillId="0" borderId="4" xfId="10" applyFont="1" applyBorder="1" applyAlignment="1">
      <alignment horizontal="center" vertical="center" wrapText="1"/>
    </xf>
    <xf numFmtId="0" fontId="11" fillId="4" borderId="4" xfId="15" applyFont="1" applyFill="1" applyBorder="1" applyAlignment="1">
      <alignment horizontal="center" vertical="center"/>
    </xf>
    <xf numFmtId="0" fontId="27" fillId="0" borderId="4" xfId="10" applyFont="1" applyBorder="1" applyAlignment="1">
      <alignment horizontal="center" vertical="center"/>
    </xf>
    <xf numFmtId="0" fontId="11" fillId="4" borderId="9" xfId="54" applyFont="1" applyFill="1" applyBorder="1" applyAlignment="1">
      <alignment horizontal="center" vertical="center" wrapText="1"/>
    </xf>
    <xf numFmtId="0" fontId="11" fillId="4" borderId="3" xfId="54" applyFont="1" applyFill="1" applyBorder="1" applyAlignment="1">
      <alignment horizontal="center" vertical="center" wrapText="1"/>
    </xf>
    <xf numFmtId="0" fontId="11" fillId="4" borderId="8" xfId="54" applyFont="1" applyFill="1" applyBorder="1" applyAlignment="1">
      <alignment horizontal="center" vertical="center" wrapText="1"/>
    </xf>
    <xf numFmtId="0" fontId="11" fillId="0" borderId="0" xfId="62" applyFont="1" applyAlignment="1">
      <alignment horizontal="left"/>
    </xf>
    <xf numFmtId="0" fontId="11" fillId="7" borderId="4" xfId="62" applyFont="1" applyFill="1" applyBorder="1" applyAlignment="1">
      <alignment horizontal="center" vertical="center" wrapText="1"/>
    </xf>
    <xf numFmtId="0" fontId="11" fillId="7" borderId="4" xfId="62" applyFont="1" applyFill="1" applyBorder="1" applyAlignment="1">
      <alignment horizontal="center" wrapText="1"/>
    </xf>
    <xf numFmtId="0" fontId="11" fillId="7" borderId="4" xfId="62" applyFont="1" applyFill="1" applyBorder="1" applyAlignment="1">
      <alignment horizontal="center"/>
    </xf>
    <xf numFmtId="0" fontId="11" fillId="7" borderId="5" xfId="62" applyFont="1" applyFill="1" applyBorder="1" applyAlignment="1">
      <alignment horizontal="center" vertical="center"/>
    </xf>
    <xf numFmtId="0" fontId="11" fillId="7" borderId="7" xfId="62" applyFont="1" applyFill="1" applyBorder="1" applyAlignment="1">
      <alignment horizontal="center" vertical="center"/>
    </xf>
    <xf numFmtId="0" fontId="11" fillId="7" borderId="6" xfId="62" applyFont="1" applyFill="1" applyBorder="1" applyAlignment="1">
      <alignment horizontal="center" vertical="center"/>
    </xf>
    <xf numFmtId="0" fontId="27" fillId="0" borderId="5" xfId="15" applyFont="1" applyBorder="1" applyAlignment="1">
      <alignment horizontal="center" vertical="center"/>
    </xf>
    <xf numFmtId="0" fontId="27" fillId="0" borderId="7" xfId="15" applyFont="1" applyBorder="1" applyAlignment="1">
      <alignment horizontal="center" vertical="center"/>
    </xf>
    <xf numFmtId="0" fontId="27" fillId="0" borderId="6" xfId="15" applyFont="1" applyBorder="1" applyAlignment="1">
      <alignment horizontal="center" vertical="center"/>
    </xf>
    <xf numFmtId="0" fontId="11" fillId="7" borderId="4" xfId="10" applyFont="1" applyFill="1" applyBorder="1" applyAlignment="1">
      <alignment horizontal="center" vertical="center" wrapText="1"/>
    </xf>
    <xf numFmtId="0" fontId="11" fillId="7" borderId="5" xfId="62" applyFont="1" applyFill="1" applyBorder="1" applyAlignment="1">
      <alignment horizontal="center" vertical="center" wrapText="1"/>
    </xf>
    <xf numFmtId="0" fontId="11" fillId="7" borderId="6" xfId="62" applyFont="1" applyFill="1" applyBorder="1" applyAlignment="1">
      <alignment horizontal="center" vertical="center" wrapText="1"/>
    </xf>
    <xf numFmtId="0" fontId="11" fillId="7" borderId="4" xfId="62" applyFont="1" applyFill="1" applyBorder="1" applyAlignment="1">
      <alignment horizontal="center" vertical="center"/>
    </xf>
    <xf numFmtId="0" fontId="11" fillId="7" borderId="9" xfId="62" applyFont="1" applyFill="1" applyBorder="1" applyAlignment="1">
      <alignment horizontal="center" vertical="center"/>
    </xf>
    <xf numFmtId="0" fontId="11" fillId="7" borderId="8" xfId="62" applyFont="1" applyFill="1" applyBorder="1" applyAlignment="1">
      <alignment horizontal="center" vertical="center"/>
    </xf>
    <xf numFmtId="0" fontId="11" fillId="7" borderId="3" xfId="62" applyFont="1" applyFill="1" applyBorder="1" applyAlignment="1">
      <alignment horizontal="center" vertical="center"/>
    </xf>
    <xf numFmtId="0" fontId="11" fillId="4" borderId="5" xfId="15" applyFont="1" applyFill="1" applyBorder="1" applyAlignment="1">
      <alignment horizontal="center" vertical="center"/>
    </xf>
    <xf numFmtId="0" fontId="11" fillId="4" borderId="7" xfId="15" applyFont="1" applyFill="1" applyBorder="1" applyAlignment="1">
      <alignment horizontal="center" vertical="center"/>
    </xf>
    <xf numFmtId="0" fontId="43" fillId="0" borderId="0" xfId="0" applyFont="1" applyAlignment="1">
      <alignment horizontal="center" wrapText="1"/>
    </xf>
    <xf numFmtId="0" fontId="0" fillId="0" borderId="0" xfId="0" applyAlignment="1">
      <alignment horizontal="center"/>
    </xf>
    <xf numFmtId="0" fontId="43" fillId="7" borderId="0" xfId="0" applyFont="1" applyFill="1" applyAlignment="1">
      <alignment horizontal="center" vertical="center"/>
    </xf>
    <xf numFmtId="0" fontId="43" fillId="7" borderId="13" xfId="0" applyFont="1" applyFill="1" applyBorder="1" applyAlignment="1">
      <alignment horizontal="center" vertical="center"/>
    </xf>
    <xf numFmtId="0" fontId="43" fillId="6" borderId="4" xfId="0" applyFont="1" applyFill="1" applyBorder="1" applyAlignment="1">
      <alignment horizontal="center"/>
    </xf>
    <xf numFmtId="0" fontId="43" fillId="0" borderId="9" xfId="0" applyFont="1" applyBorder="1" applyAlignment="1">
      <alignment horizontal="left"/>
    </xf>
    <xf numFmtId="0" fontId="43" fillId="0" borderId="3" xfId="0" applyFont="1" applyBorder="1" applyAlignment="1">
      <alignment horizontal="left"/>
    </xf>
    <xf numFmtId="0" fontId="43" fillId="0" borderId="8" xfId="0" applyFont="1" applyBorder="1" applyAlignment="1">
      <alignment horizontal="left"/>
    </xf>
    <xf numFmtId="0" fontId="43" fillId="7" borderId="9" xfId="0" applyFont="1" applyFill="1" applyBorder="1" applyAlignment="1">
      <alignment horizontal="center" wrapText="1"/>
    </xf>
    <xf numFmtId="0" fontId="43" fillId="7" borderId="3" xfId="0" applyFont="1" applyFill="1" applyBorder="1" applyAlignment="1">
      <alignment horizontal="center" wrapText="1"/>
    </xf>
    <xf numFmtId="0" fontId="43" fillId="7" borderId="8" xfId="0" applyFont="1" applyFill="1" applyBorder="1" applyAlignment="1">
      <alignment horizontal="center" wrapText="1"/>
    </xf>
    <xf numFmtId="0" fontId="43" fillId="0" borderId="13" xfId="0" applyFont="1" applyBorder="1" applyAlignment="1">
      <alignment horizontal="center"/>
    </xf>
    <xf numFmtId="0" fontId="43" fillId="7" borderId="4" xfId="0" applyFont="1" applyFill="1" applyBorder="1" applyAlignment="1">
      <alignment horizontal="center" wrapText="1"/>
    </xf>
    <xf numFmtId="0" fontId="43" fillId="0" borderId="0" xfId="0" applyFont="1" applyAlignment="1">
      <alignment horizontal="left"/>
    </xf>
    <xf numFmtId="0" fontId="43" fillId="0" borderId="4" xfId="0" applyFont="1" applyBorder="1" applyAlignment="1">
      <alignment horizontal="center"/>
    </xf>
    <xf numFmtId="0" fontId="43" fillId="0" borderId="25" xfId="0" applyFont="1" applyBorder="1" applyAlignment="1">
      <alignment horizontal="left"/>
    </xf>
    <xf numFmtId="0" fontId="43" fillId="0" borderId="25" xfId="0" applyFont="1" applyBorder="1" applyAlignment="1">
      <alignment horizontal="center" wrapText="1"/>
    </xf>
    <xf numFmtId="0" fontId="43" fillId="0" borderId="9" xfId="0" applyFont="1" applyBorder="1" applyAlignment="1">
      <alignment horizontal="center"/>
    </xf>
    <xf numFmtId="0" fontId="43" fillId="0" borderId="3" xfId="0" applyFont="1" applyBorder="1" applyAlignment="1">
      <alignment horizontal="center"/>
    </xf>
    <xf numFmtId="0" fontId="43" fillId="0" borderId="8" xfId="0" applyFont="1" applyBorder="1" applyAlignment="1">
      <alignment horizontal="center"/>
    </xf>
    <xf numFmtId="0" fontId="11" fillId="4" borderId="5" xfId="54" applyFont="1" applyFill="1" applyBorder="1" applyAlignment="1">
      <alignment horizontal="center" vertical="center" wrapText="1"/>
    </xf>
    <xf numFmtId="0" fontId="11" fillId="4" borderId="7" xfId="54" applyFont="1" applyFill="1" applyBorder="1" applyAlignment="1">
      <alignment horizontal="center" vertical="center" wrapText="1"/>
    </xf>
    <xf numFmtId="0" fontId="27" fillId="0" borderId="6" xfId="53" applyFont="1" applyBorder="1" applyAlignment="1">
      <alignment horizontal="center" vertical="center" wrapText="1"/>
    </xf>
    <xf numFmtId="0" fontId="11" fillId="4" borderId="4" xfId="54" applyFont="1" applyFill="1" applyBorder="1" applyAlignment="1">
      <alignment horizontal="center" vertical="center"/>
    </xf>
    <xf numFmtId="0" fontId="27" fillId="0" borderId="4" xfId="53" applyFont="1" applyBorder="1" applyAlignment="1">
      <alignment horizontal="center" vertical="center"/>
    </xf>
    <xf numFmtId="0" fontId="11" fillId="4" borderId="5" xfId="53" applyFont="1" applyFill="1" applyBorder="1" applyAlignment="1">
      <alignment horizontal="center" vertical="center" wrapText="1"/>
    </xf>
    <xf numFmtId="0" fontId="11" fillId="4" borderId="7" xfId="53" applyFont="1" applyFill="1" applyBorder="1" applyAlignment="1">
      <alignment horizontal="center" vertical="center" wrapText="1"/>
    </xf>
    <xf numFmtId="0" fontId="11" fillId="4" borderId="6" xfId="53" applyFont="1" applyFill="1" applyBorder="1" applyAlignment="1">
      <alignment horizontal="center" vertical="center" wrapText="1"/>
    </xf>
    <xf numFmtId="0" fontId="11" fillId="4" borderId="5" xfId="53" applyFont="1" applyFill="1" applyBorder="1" applyAlignment="1">
      <alignment horizontal="center" vertical="center"/>
    </xf>
    <xf numFmtId="0" fontId="11" fillId="4" borderId="6" xfId="53" applyFont="1" applyFill="1" applyBorder="1" applyAlignment="1">
      <alignment horizontal="center" vertical="center"/>
    </xf>
    <xf numFmtId="0" fontId="11" fillId="4" borderId="9" xfId="53" applyFont="1" applyFill="1" applyBorder="1" applyAlignment="1">
      <alignment horizontal="center" vertical="center" wrapText="1"/>
    </xf>
    <xf numFmtId="0" fontId="11" fillId="4" borderId="3" xfId="53" applyFont="1" applyFill="1" applyBorder="1" applyAlignment="1">
      <alignment horizontal="center" vertical="center" wrapText="1"/>
    </xf>
    <xf numFmtId="0" fontId="11" fillId="4" borderId="8" xfId="53" applyFont="1" applyFill="1" applyBorder="1" applyAlignment="1">
      <alignment horizontal="center" vertical="center" wrapText="1"/>
    </xf>
    <xf numFmtId="0" fontId="13" fillId="4" borderId="9" xfId="62" applyFont="1" applyFill="1" applyBorder="1" applyAlignment="1">
      <alignment horizontal="center" vertical="center" wrapText="1"/>
    </xf>
    <xf numFmtId="0" fontId="13" fillId="4" borderId="3" xfId="62" applyFont="1" applyFill="1" applyBorder="1" applyAlignment="1">
      <alignment horizontal="center" vertical="center" wrapText="1"/>
    </xf>
    <xf numFmtId="0" fontId="13" fillId="4" borderId="8" xfId="62" applyFont="1" applyFill="1" applyBorder="1" applyAlignment="1">
      <alignment horizontal="center" vertical="center" wrapText="1"/>
    </xf>
    <xf numFmtId="0" fontId="11" fillId="4" borderId="10" xfId="53" applyFont="1" applyFill="1" applyBorder="1" applyAlignment="1">
      <alignment horizontal="center" vertical="center" wrapText="1"/>
    </xf>
    <xf numFmtId="0" fontId="11" fillId="4" borderId="12" xfId="53" applyFont="1" applyFill="1" applyBorder="1" applyAlignment="1">
      <alignment horizontal="center" vertical="center" wrapText="1"/>
    </xf>
    <xf numFmtId="0" fontId="11" fillId="4" borderId="11" xfId="53" applyFont="1" applyFill="1" applyBorder="1" applyAlignment="1">
      <alignment horizontal="center" vertical="center" wrapText="1"/>
    </xf>
    <xf numFmtId="0" fontId="11" fillId="4" borderId="5" xfId="62" applyFont="1" applyFill="1" applyBorder="1" applyAlignment="1">
      <alignment horizontal="center" vertical="center" wrapText="1"/>
    </xf>
    <xf numFmtId="0" fontId="11" fillId="4" borderId="6" xfId="62" applyFont="1" applyFill="1" applyBorder="1" applyAlignment="1">
      <alignment horizontal="center" vertical="center" wrapText="1"/>
    </xf>
    <xf numFmtId="0" fontId="11" fillId="4" borderId="26" xfId="62" applyFont="1" applyFill="1" applyBorder="1" applyAlignment="1">
      <alignment horizontal="center" vertical="center" wrapText="1"/>
    </xf>
    <xf numFmtId="0" fontId="11" fillId="0" borderId="0" xfId="53" applyFont="1" applyAlignment="1">
      <alignment horizontal="center" vertical="center" wrapText="1"/>
    </xf>
    <xf numFmtId="0" fontId="11" fillId="4" borderId="4" xfId="53" applyFont="1" applyFill="1" applyBorder="1" applyAlignment="1">
      <alignment horizontal="center" vertical="center" wrapText="1"/>
    </xf>
    <xf numFmtId="0" fontId="10" fillId="6" borderId="0" xfId="54" applyFont="1" applyFill="1" applyAlignment="1">
      <alignment horizontal="left" vertical="center"/>
    </xf>
    <xf numFmtId="0" fontId="11" fillId="4" borderId="4" xfId="62" applyFont="1" applyFill="1" applyBorder="1" applyAlignment="1">
      <alignment horizontal="center" vertical="center" wrapText="1"/>
    </xf>
    <xf numFmtId="0" fontId="11" fillId="4" borderId="4" xfId="62" applyFont="1" applyFill="1" applyBorder="1" applyAlignment="1">
      <alignment horizontal="center" wrapText="1"/>
    </xf>
    <xf numFmtId="0" fontId="9" fillId="0" borderId="4" xfId="62" applyBorder="1" applyAlignment="1">
      <alignment horizontal="center" wrapText="1"/>
    </xf>
    <xf numFmtId="0" fontId="27" fillId="0" borderId="4" xfId="62" applyFont="1" applyBorder="1" applyAlignment="1">
      <alignment horizontal="center" wrapText="1"/>
    </xf>
    <xf numFmtId="0" fontId="27" fillId="0" borderId="4" xfId="62" applyFont="1" applyBorder="1" applyAlignment="1">
      <alignment horizontal="center" vertical="center" wrapText="1"/>
    </xf>
    <xf numFmtId="0" fontId="11" fillId="4" borderId="6" xfId="54" applyFont="1" applyFill="1" applyBorder="1" applyAlignment="1">
      <alignment horizontal="center" vertical="center" wrapText="1"/>
    </xf>
    <xf numFmtId="0" fontId="10" fillId="5" borderId="0" xfId="10" applyFont="1" applyFill="1" applyAlignment="1">
      <alignment horizontal="left" vertical="top" wrapText="1"/>
    </xf>
    <xf numFmtId="0" fontId="10" fillId="0" borderId="0" xfId="54" applyFont="1" applyAlignment="1">
      <alignment horizontal="left" vertical="center" wrapText="1"/>
    </xf>
    <xf numFmtId="0" fontId="11" fillId="0" borderId="0" xfId="62" applyFont="1" applyAlignment="1">
      <alignment horizontal="center" vertical="center" wrapText="1"/>
    </xf>
    <xf numFmtId="0" fontId="47" fillId="0" borderId="0" xfId="54" applyFont="1" applyAlignment="1">
      <alignment horizontal="left" vertical="center" wrapText="1"/>
    </xf>
    <xf numFmtId="0" fontId="37" fillId="0" borderId="0" xfId="54" applyFont="1" applyAlignment="1">
      <alignment horizontal="center" vertical="center" wrapText="1"/>
    </xf>
    <xf numFmtId="0" fontId="27" fillId="0" borderId="6" xfId="62" applyFont="1" applyBorder="1" applyAlignment="1">
      <alignment horizontal="center" vertical="center" wrapText="1"/>
    </xf>
    <xf numFmtId="0" fontId="27" fillId="0" borderId="4" xfId="62" applyFont="1" applyBorder="1" applyAlignment="1">
      <alignment horizontal="center" vertical="center"/>
    </xf>
    <xf numFmtId="0" fontId="10" fillId="0" borderId="4" xfId="62" applyFont="1" applyBorder="1" applyAlignment="1">
      <alignment horizontal="center" vertical="center"/>
    </xf>
    <xf numFmtId="0" fontId="11" fillId="0" borderId="5" xfId="62" applyFont="1" applyBorder="1" applyAlignment="1">
      <alignment horizontal="center"/>
    </xf>
    <xf numFmtId="0" fontId="11" fillId="0" borderId="7" xfId="62" applyFont="1" applyBorder="1" applyAlignment="1">
      <alignment horizontal="center"/>
    </xf>
    <xf numFmtId="0" fontId="11" fillId="0" borderId="6" xfId="62" applyFont="1" applyBorder="1" applyAlignment="1">
      <alignment horizontal="center"/>
    </xf>
    <xf numFmtId="0" fontId="11" fillId="0" borderId="5" xfId="62" applyFont="1" applyBorder="1" applyAlignment="1">
      <alignment horizontal="center" vertical="top"/>
    </xf>
    <xf numFmtId="0" fontId="11" fillId="0" borderId="7" xfId="62" applyFont="1" applyBorder="1" applyAlignment="1">
      <alignment horizontal="center" vertical="top"/>
    </xf>
    <xf numFmtId="0" fontId="11" fillId="0" borderId="6" xfId="62" applyFont="1" applyBorder="1" applyAlignment="1">
      <alignment horizontal="center" vertical="top"/>
    </xf>
    <xf numFmtId="0" fontId="11" fillId="4" borderId="24" xfId="54" applyFont="1" applyFill="1" applyBorder="1" applyAlignment="1">
      <alignment horizontal="center" vertical="center" wrapText="1"/>
    </xf>
    <xf numFmtId="0" fontId="9" fillId="0" borderId="24" xfId="62" applyBorder="1" applyAlignment="1">
      <alignment horizontal="center" vertical="center" wrapText="1"/>
    </xf>
    <xf numFmtId="0" fontId="11" fillId="4" borderId="24" xfId="54" applyFont="1" applyFill="1" applyBorder="1" applyAlignment="1">
      <alignment horizontal="center" vertical="center"/>
    </xf>
    <xf numFmtId="0" fontId="10" fillId="0" borderId="24" xfId="62" applyFont="1" applyBorder="1" applyAlignment="1">
      <alignment horizontal="center" vertical="center"/>
    </xf>
    <xf numFmtId="0" fontId="40" fillId="11" borderId="10" xfId="66" applyFont="1" applyFill="1" applyBorder="1" applyAlignment="1">
      <alignment horizontal="center"/>
    </xf>
    <xf numFmtId="0" fontId="40" fillId="11" borderId="12" xfId="66" applyFont="1" applyFill="1" applyBorder="1" applyAlignment="1">
      <alignment horizontal="center"/>
    </xf>
    <xf numFmtId="0" fontId="40" fillId="11" borderId="11" xfId="66" applyFont="1" applyFill="1" applyBorder="1" applyAlignment="1">
      <alignment horizontal="center"/>
    </xf>
    <xf numFmtId="0" fontId="39" fillId="11" borderId="5" xfId="66" applyFont="1" applyFill="1" applyBorder="1" applyAlignment="1">
      <alignment horizontal="center" vertical="center" wrapText="1"/>
    </xf>
    <xf numFmtId="0" fontId="39" fillId="11" borderId="6" xfId="66" applyFont="1" applyFill="1" applyBorder="1" applyAlignment="1">
      <alignment horizontal="center" vertical="center" wrapText="1"/>
    </xf>
    <xf numFmtId="0" fontId="40" fillId="11" borderId="9" xfId="66" applyFont="1" applyFill="1" applyBorder="1" applyAlignment="1">
      <alignment horizontal="center"/>
    </xf>
    <xf numFmtId="0" fontId="40" fillId="11" borderId="3" xfId="66" applyFont="1" applyFill="1" applyBorder="1" applyAlignment="1">
      <alignment horizontal="center"/>
    </xf>
    <xf numFmtId="0" fontId="40" fillId="11" borderId="8" xfId="66" applyFont="1" applyFill="1" applyBorder="1" applyAlignment="1">
      <alignment horizontal="center"/>
    </xf>
    <xf numFmtId="0" fontId="11" fillId="0" borderId="0" xfId="62" applyFont="1" applyAlignment="1">
      <alignment horizontal="center" vertical="center"/>
    </xf>
    <xf numFmtId="0" fontId="12" fillId="0" borderId="0" xfId="62" applyFont="1" applyAlignment="1">
      <alignment horizontal="center" vertical="center"/>
    </xf>
    <xf numFmtId="0" fontId="11" fillId="6" borderId="0" xfId="62" applyFont="1" applyFill="1" applyAlignment="1">
      <alignment horizontal="center" vertical="center"/>
    </xf>
    <xf numFmtId="0" fontId="12" fillId="6" borderId="0" xfId="62" applyFont="1" applyFill="1" applyAlignment="1">
      <alignment horizontal="center" vertical="center"/>
    </xf>
    <xf numFmtId="0" fontId="39" fillId="11" borderId="5" xfId="66" applyFont="1" applyFill="1" applyBorder="1" applyAlignment="1">
      <alignment horizontal="center" vertical="center"/>
    </xf>
    <xf numFmtId="0" fontId="39" fillId="11" borderId="6" xfId="66" applyFont="1" applyFill="1" applyBorder="1" applyAlignment="1">
      <alignment horizontal="center" vertical="center"/>
    </xf>
    <xf numFmtId="0" fontId="11" fillId="0" borderId="4" xfId="54" applyFont="1" applyBorder="1" applyAlignment="1">
      <alignment horizontal="center" vertical="top" wrapText="1"/>
    </xf>
    <xf numFmtId="0" fontId="9" fillId="0" borderId="4" xfId="0" applyFont="1" applyBorder="1" applyAlignment="1">
      <alignment horizontal="left" vertical="center"/>
    </xf>
    <xf numFmtId="0" fontId="10" fillId="0" borderId="4" xfId="0" applyFont="1" applyBorder="1" applyAlignment="1">
      <alignment horizontal="center" vertical="center"/>
    </xf>
    <xf numFmtId="0" fontId="10" fillId="0" borderId="4" xfId="0" applyFont="1" applyBorder="1" applyAlignment="1">
      <alignment vertical="center" wrapText="1"/>
    </xf>
    <xf numFmtId="0" fontId="11" fillId="0" borderId="4" xfId="0" applyFont="1" applyBorder="1" applyAlignment="1">
      <alignment horizontal="center" vertical="center"/>
    </xf>
    <xf numFmtId="0" fontId="46" fillId="17" borderId="4" xfId="0" applyFont="1" applyFill="1" applyBorder="1" applyAlignment="1">
      <alignment horizontal="center" vertical="center" wrapText="1"/>
    </xf>
    <xf numFmtId="0" fontId="46" fillId="17" borderId="4" xfId="0" applyFont="1" applyFill="1" applyBorder="1" applyAlignment="1">
      <alignment horizontal="center" vertical="center"/>
    </xf>
    <xf numFmtId="0" fontId="10" fillId="0" borderId="4" xfId="0" applyFont="1" applyBorder="1" applyAlignment="1">
      <alignment horizontal="left" vertical="center" wrapText="1"/>
    </xf>
    <xf numFmtId="0" fontId="46" fillId="18" borderId="4"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xf numFmtId="0" fontId="11" fillId="7" borderId="4" xfId="54" applyFont="1" applyFill="1" applyBorder="1" applyAlignment="1">
      <alignment horizontal="center" vertical="center" wrapText="1"/>
    </xf>
    <xf numFmtId="0" fontId="11" fillId="4" borderId="5" xfId="10" applyFont="1" applyFill="1" applyBorder="1" applyAlignment="1">
      <alignment horizontal="center" vertical="center" wrapText="1"/>
    </xf>
    <xf numFmtId="0" fontId="11" fillId="4" borderId="6" xfId="10" applyFont="1" applyFill="1" applyBorder="1" applyAlignment="1">
      <alignment horizontal="center" vertical="center" wrapText="1"/>
    </xf>
    <xf numFmtId="0" fontId="11" fillId="4" borderId="9" xfId="15" applyFont="1" applyFill="1" applyBorder="1" applyAlignment="1">
      <alignment horizontal="center" vertical="center" wrapText="1"/>
    </xf>
    <xf numFmtId="0" fontId="11" fillId="4" borderId="8" xfId="15" applyFont="1" applyFill="1" applyBorder="1" applyAlignment="1">
      <alignment horizontal="center" vertical="center" wrapText="1"/>
    </xf>
    <xf numFmtId="0" fontId="11" fillId="4" borderId="9" xfId="54" applyFont="1" applyFill="1" applyBorder="1" applyAlignment="1">
      <alignment horizontal="center" vertical="center"/>
    </xf>
    <xf numFmtId="0" fontId="11" fillId="4" borderId="3" xfId="54" applyFont="1" applyFill="1" applyBorder="1" applyAlignment="1">
      <alignment horizontal="center" vertical="center"/>
    </xf>
    <xf numFmtId="0" fontId="11" fillId="4" borderId="8" xfId="54" applyFont="1" applyFill="1" applyBorder="1" applyAlignment="1">
      <alignment horizontal="center" vertical="center"/>
    </xf>
    <xf numFmtId="0" fontId="11" fillId="4" borderId="6" xfId="15" applyFont="1" applyFill="1" applyBorder="1" applyAlignment="1">
      <alignment horizontal="center" vertical="center" wrapText="1"/>
    </xf>
  </cellXfs>
  <cellStyles count="206">
    <cellStyle name="20% - Accent1" xfId="90" builtinId="30" customBuiltin="1"/>
    <cellStyle name="20% - Accent2" xfId="94" builtinId="34" customBuiltin="1"/>
    <cellStyle name="20% - Accent3" xfId="98" builtinId="38" customBuiltin="1"/>
    <cellStyle name="20% - Accent4" xfId="102" builtinId="42" customBuiltin="1"/>
    <cellStyle name="20% - Accent5" xfId="106" builtinId="46" customBuiltin="1"/>
    <cellStyle name="20% - Accent6" xfId="110" builtinId="50" customBuiltin="1"/>
    <cellStyle name="40% - Accent1" xfId="91" builtinId="31" customBuiltin="1"/>
    <cellStyle name="40% - Accent2" xfId="95" builtinId="35" customBuiltin="1"/>
    <cellStyle name="40% - Accent3" xfId="99" builtinId="39" customBuiltin="1"/>
    <cellStyle name="40% - Accent4" xfId="103" builtinId="43" customBuiltin="1"/>
    <cellStyle name="40% - Accent5" xfId="107" builtinId="47" customBuiltin="1"/>
    <cellStyle name="40% - Accent6" xfId="111" builtinId="51" customBuiltin="1"/>
    <cellStyle name="60% - Accent1" xfId="92" builtinId="32" customBuiltin="1"/>
    <cellStyle name="60% - Accent2" xfId="96" builtinId="36" customBuiltin="1"/>
    <cellStyle name="60% - Accent3" xfId="100" builtinId="40" customBuiltin="1"/>
    <cellStyle name="60% - Accent4" xfId="104" builtinId="44" customBuiltin="1"/>
    <cellStyle name="60% - Accent5" xfId="108" builtinId="48" customBuiltin="1"/>
    <cellStyle name="60% - Accent6" xfId="112" builtinId="52" customBuiltin="1"/>
    <cellStyle name="Accent1" xfId="89" builtinId="29" customBuiltin="1"/>
    <cellStyle name="Accent2" xfId="93" builtinId="33" customBuiltin="1"/>
    <cellStyle name="Accent3" xfId="97" builtinId="37" customBuiltin="1"/>
    <cellStyle name="Accent4" xfId="101" builtinId="41" customBuiltin="1"/>
    <cellStyle name="Accent5" xfId="105" builtinId="45" customBuiltin="1"/>
    <cellStyle name="Accent6" xfId="109" builtinId="49" customBuiltin="1"/>
    <cellStyle name="Bad" xfId="79" builtinId="27" customBuiltin="1"/>
    <cellStyle name="Body" xfId="1"/>
    <cellStyle name="Calculation" xfId="83" builtinId="22" customBuiltin="1"/>
    <cellStyle name="Check Cell" xfId="85" builtinId="23" customBuiltin="1"/>
    <cellStyle name="Comma  - Style1" xfId="2"/>
    <cellStyle name="Comma 10" xfId="181"/>
    <cellStyle name="Comma 11 2" xfId="23"/>
    <cellStyle name="Comma 11 2 2" xfId="72"/>
    <cellStyle name="Comma 11 2 2 2" xfId="148"/>
    <cellStyle name="Comma 11 2 3" xfId="122"/>
    <cellStyle name="Comma 11 2 4" xfId="188"/>
    <cellStyle name="Comma 11 2 5" xfId="194"/>
    <cellStyle name="Comma 2" xfId="25"/>
    <cellStyle name="Comma 2 2" xfId="26"/>
    <cellStyle name="Comma 2 2 2" xfId="68"/>
    <cellStyle name="Comma 2 2 3" xfId="151"/>
    <cellStyle name="Comma 2 2 4" xfId="125"/>
    <cellStyle name="Comma 2 3" xfId="27"/>
    <cellStyle name="Comma 2 3 2" xfId="152"/>
    <cellStyle name="Comma 2 3 3" xfId="126"/>
    <cellStyle name="Comma 2 4" xfId="61"/>
    <cellStyle name="Comma 2 5" xfId="150"/>
    <cellStyle name="Comma 2 6" xfId="124"/>
    <cellStyle name="Comma 3" xfId="28"/>
    <cellStyle name="Comma 3 2" xfId="67"/>
    <cellStyle name="Comma 3 2 2" xfId="165"/>
    <cellStyle name="Comma 3 2 3" xfId="139"/>
    <cellStyle name="Comma 3 2 4" xfId="195"/>
    <cellStyle name="Comma 3 3" xfId="153"/>
    <cellStyle name="Comma 3 4" xfId="127"/>
    <cellStyle name="Comma 4" xfId="29"/>
    <cellStyle name="Comma 4 2" xfId="69"/>
    <cellStyle name="Comma 4 2 2" xfId="166"/>
    <cellStyle name="Comma 4 2 3" xfId="140"/>
    <cellStyle name="Comma 4 2 4" xfId="196"/>
    <cellStyle name="Comma 4 3" xfId="154"/>
    <cellStyle name="Comma 4 4" xfId="128"/>
    <cellStyle name="Comma 5" xfId="30"/>
    <cellStyle name="Comma 5 2" xfId="155"/>
    <cellStyle name="Comma 5 3" xfId="129"/>
    <cellStyle name="Comma 5 4" xfId="190"/>
    <cellStyle name="Comma 5 5" xfId="197"/>
    <cellStyle name="Comma 6" xfId="31"/>
    <cellStyle name="Comma 6 2" xfId="55"/>
    <cellStyle name="Comma 6 3" xfId="56"/>
    <cellStyle name="Comma 6 4" xfId="57"/>
    <cellStyle name="Comma 6 5" xfId="156"/>
    <cellStyle name="Comma 6 6" xfId="130"/>
    <cellStyle name="Comma 7" xfId="32"/>
    <cellStyle name="Comma 8" xfId="70"/>
    <cellStyle name="Comma 8 2" xfId="167"/>
    <cellStyle name="Comma 8 3" xfId="141"/>
    <cellStyle name="Comma 8 4" xfId="198"/>
    <cellStyle name="Comma 9" xfId="178"/>
    <cellStyle name="Curren - Style2" xfId="3"/>
    <cellStyle name="Currency" xfId="205" builtinId="4"/>
    <cellStyle name="Explanatory Text" xfId="87" builtinId="53" customBuiltin="1"/>
    <cellStyle name="Good" xfId="78" builtinId="26" customBuiltin="1"/>
    <cellStyle name="Grey" xfId="4"/>
    <cellStyle name="Header1" xfId="5"/>
    <cellStyle name="Header2" xfId="6"/>
    <cellStyle name="Heading 1" xfId="74" builtinId="16" customBuiltin="1"/>
    <cellStyle name="Heading 2" xfId="75" builtinId="17" customBuiltin="1"/>
    <cellStyle name="Heading 3" xfId="76" builtinId="18" customBuiltin="1"/>
    <cellStyle name="Heading 4" xfId="77" builtinId="19" customBuiltin="1"/>
    <cellStyle name="Hyperlink 2" xfId="142"/>
    <cellStyle name="Input" xfId="81" builtinId="20" customBuiltin="1"/>
    <cellStyle name="Input [yellow]" xfId="7"/>
    <cellStyle name="Input [yellow] 2" xfId="118"/>
    <cellStyle name="Input [yellow] 3" xfId="199"/>
    <cellStyle name="Linked Cell" xfId="84" builtinId="24" customBuiltin="1"/>
    <cellStyle name="Neutral" xfId="80" builtinId="28" customBuiltin="1"/>
    <cellStyle name="no dec" xfId="8"/>
    <cellStyle name="Normal" xfId="0" builtinId="0"/>
    <cellStyle name="Normal - Style1" xfId="9"/>
    <cellStyle name="Normal 10" xfId="113"/>
    <cellStyle name="Normal 10 2" xfId="144"/>
    <cellStyle name="Normal 11" xfId="114"/>
    <cellStyle name="Normal 11 2" xfId="168"/>
    <cellStyle name="Normal 12" xfId="116"/>
    <cellStyle name="Normal 13" xfId="170"/>
    <cellStyle name="Normal 14" xfId="171"/>
    <cellStyle name="Normal 15" xfId="22"/>
    <cellStyle name="Normal 15 2" xfId="71"/>
    <cellStyle name="Normal 15 2 2" xfId="147"/>
    <cellStyle name="Normal 15 3" xfId="121"/>
    <cellStyle name="Normal 15 4" xfId="187"/>
    <cellStyle name="Normal 15 5" xfId="200"/>
    <cellStyle name="Normal 16" xfId="172"/>
    <cellStyle name="Normal 17" xfId="173"/>
    <cellStyle name="Normal 18" xfId="66"/>
    <cellStyle name="Normal 18 2" xfId="164"/>
    <cellStyle name="Normal 18 3" xfId="138"/>
    <cellStyle name="Normal 18 4" xfId="201"/>
    <cellStyle name="Normal 19" xfId="174"/>
    <cellStyle name="Normal 2" xfId="10"/>
    <cellStyle name="Normal 2 2" xfId="11"/>
    <cellStyle name="Normal 2 2 2" xfId="33"/>
    <cellStyle name="Normal 2 2 2 2" xfId="62"/>
    <cellStyle name="Normal 2 2_Working APR 2007-08 Mahagenco_Bhushan_1.3" xfId="34"/>
    <cellStyle name="Normal 2 3" xfId="12"/>
    <cellStyle name="Normal 2 4" xfId="53"/>
    <cellStyle name="Normal 2_ARR FINAL" xfId="35"/>
    <cellStyle name="Normal 20" xfId="175"/>
    <cellStyle name="Normal 21" xfId="176"/>
    <cellStyle name="Normal 22" xfId="179"/>
    <cellStyle name="Normal 23" xfId="182"/>
    <cellStyle name="Normal 24" xfId="183"/>
    <cellStyle name="Normal 25" xfId="184"/>
    <cellStyle name="Normal 26" xfId="186"/>
    <cellStyle name="Normal 27" xfId="185"/>
    <cellStyle name="Normal 28" xfId="193"/>
    <cellStyle name="Normal 3" xfId="13"/>
    <cellStyle name="Normal 3 2" xfId="36"/>
    <cellStyle name="Normal 3 2 2" xfId="63"/>
    <cellStyle name="Normal 39" xfId="37"/>
    <cellStyle name="Normal 4" xfId="38"/>
    <cellStyle name="Normal 4 2" xfId="64"/>
    <cellStyle name="Normal 5" xfId="39"/>
    <cellStyle name="Normal 5 2" xfId="40"/>
    <cellStyle name="Normal 5 3" xfId="157"/>
    <cellStyle name="Normal 5 4" xfId="131"/>
    <cellStyle name="Normal 5 5" xfId="191"/>
    <cellStyle name="Normal 5 6" xfId="202"/>
    <cellStyle name="Normal 6" xfId="41"/>
    <cellStyle name="Normal 7" xfId="42"/>
    <cellStyle name="Normal 7 2" xfId="158"/>
    <cellStyle name="Normal 7 3" xfId="132"/>
    <cellStyle name="Normal 7 4" xfId="192"/>
    <cellStyle name="Normal 7 5" xfId="203"/>
    <cellStyle name="Normal 8" xfId="58"/>
    <cellStyle name="Normal 9" xfId="59"/>
    <cellStyle name="Normal_FORMATS 5 YEAR ALOKE" xfId="14"/>
    <cellStyle name="Normal_FORMATS 5 YEAR ALOKE 2" xfId="15"/>
    <cellStyle name="Normal_FORMATS 5 YEAR ALOKE 2 2" xfId="54"/>
    <cellStyle name="Normal_FORMATS 5 YEAR ALOKE 3" xfId="16"/>
    <cellStyle name="Normal_FORMATS 5 YEAR ALOKE 3 2" xfId="17"/>
    <cellStyle name="Normal_FORMATS 5 YEAR ALOKE 3 2 2" xfId="60"/>
    <cellStyle name="Note 2" xfId="115"/>
    <cellStyle name="Output" xfId="82" builtinId="21" customBuiltin="1"/>
    <cellStyle name="Percent" xfId="117" builtinId="5"/>
    <cellStyle name="Percent [0]_#6 Temps &amp; Contractors" xfId="18"/>
    <cellStyle name="Percent [2]" xfId="19"/>
    <cellStyle name="Percent [2] 2" xfId="145"/>
    <cellStyle name="Percent [2] 3" xfId="119"/>
    <cellStyle name="Percent 10" xfId="180"/>
    <cellStyle name="Percent 2" xfId="43"/>
    <cellStyle name="Percent 2 2" xfId="44"/>
    <cellStyle name="Percent 2 2 2" xfId="159"/>
    <cellStyle name="Percent 2 2 3" xfId="133"/>
    <cellStyle name="Percent 2 3" xfId="65"/>
    <cellStyle name="Percent 3" xfId="45"/>
    <cellStyle name="Percent 3 2" xfId="46"/>
    <cellStyle name="Percent 3 2 2" xfId="161"/>
    <cellStyle name="Percent 3 2 3" xfId="135"/>
    <cellStyle name="Percent 3 3" xfId="160"/>
    <cellStyle name="Percent 3 4" xfId="134"/>
    <cellStyle name="Percent 4" xfId="47"/>
    <cellStyle name="Percent 41" xfId="24"/>
    <cellStyle name="Percent 41 2" xfId="149"/>
    <cellStyle name="Percent 41 3" xfId="123"/>
    <cellStyle name="Percent 41 4" xfId="189"/>
    <cellStyle name="Percent 41 5" xfId="204"/>
    <cellStyle name="Percent 5" xfId="48"/>
    <cellStyle name="Percent 5 2" xfId="49"/>
    <cellStyle name="Percent 5 3" xfId="50"/>
    <cellStyle name="Percent 5 4" xfId="162"/>
    <cellStyle name="Percent 5 5" xfId="136"/>
    <cellStyle name="Percent 6" xfId="51"/>
    <cellStyle name="Percent 6 2" xfId="52"/>
    <cellStyle name="Percent 6 3" xfId="163"/>
    <cellStyle name="Percent 6 4" xfId="137"/>
    <cellStyle name="Percent 7" xfId="169"/>
    <cellStyle name="Percent 8" xfId="143"/>
    <cellStyle name="Percent 9" xfId="177"/>
    <cellStyle name="Style 1" xfId="20"/>
    <cellStyle name="Style 1 2" xfId="146"/>
    <cellStyle name="Style 1 3" xfId="120"/>
    <cellStyle name="Style 2" xfId="21"/>
    <cellStyle name="Title" xfId="73" builtinId="15" customBuiltin="1"/>
    <cellStyle name="Total" xfId="88" builtinId="25" customBuiltin="1"/>
    <cellStyle name="Warning Text" xfId="86"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6.xml"/><Relationship Id="rId47" Type="http://schemas.openxmlformats.org/officeDocument/2006/relationships/externalLink" Target="externalLinks/externalLink11.xml"/><Relationship Id="rId50" Type="http://schemas.openxmlformats.org/officeDocument/2006/relationships/externalLink" Target="externalLinks/externalLink14.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5.xml"/><Relationship Id="rId54"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45" Type="http://schemas.openxmlformats.org/officeDocument/2006/relationships/externalLink" Target="externalLinks/externalLink9.xml"/><Relationship Id="rId53" Type="http://schemas.openxmlformats.org/officeDocument/2006/relationships/externalLink" Target="externalLinks/externalLink17.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3.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8.xml"/><Relationship Id="rId52"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7.xml"/><Relationship Id="rId48" Type="http://schemas.openxmlformats.org/officeDocument/2006/relationships/externalLink" Target="externalLinks/externalLink12.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5.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201-04REL-F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server/Users/skedia/Desktop/MSPGCL%20Main%20Folder/Revised%20True-up%20&amp;%20APR/Workings/Annexure%202_revise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bank/1-Projects%20In%20Hand/DFID/ARR%202003-04/Arr%20Petition%202003-04/For%20Submission/ARR%20Forms%20For%20Submiss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idaminfrastructure-my.sharepoint.com/Databank/1-Projects%20In%20Hand/DFID/ARR%202003-04/Arr%20Petition%202003-04/For%20Submission/ARR%20Forms%20For%20Submissio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21/shared%20doc/ARR%202.6%20REV/Performance/PERFORMANCE/ocm/Yearly_perf/OCMJAN20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nts%20and%20Settings/anurag/My%20Documents/petitions/Petition%20for%20trans%20ARR.doc/Databank/1-Projects%20In%20Hand/DFID/ARR%202003-04/Arr%20Petition%202003-04/For%20Submission/ARR%20Forms%20For%20Submission.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https://idaminfrastructure-my.sharepoint.com/Documents%20and%20Settings/anurag/My%20Documents/petitions/Petition%20for%20trans%20ARR.doc/Databank/1-Projects%20In%20Hand/DFID/ARR%202003-04/Arr%20Petition%202003-04/For%20Submission/ARR%20Forms%20For%20Submission.xls?0E2B52E9" TargetMode="External"/><Relationship Id="rId1" Type="http://schemas.openxmlformats.org/officeDocument/2006/relationships/externalLinkPath" Target="file:///\\0E2B52E9\ARR%20Forms%20For%20Submissi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Sameer's%20folder/MSEB/Tariff%20Filing%202003-04/Outputs/Models/Working%20Models/old/Dispatch%20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idaminfrastructure-my.sharepoint.com/Sameer's%20folder/MSEB/Tariff%20Filing%202003-04/Outputs/Models/Working%20Models/old/Dispatch%20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ch1/EMAIL/Performance/PERFORMANCE/ocm/Yearly_perf/OCMJAN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ID%20Energy/Work/MSPGCL%20True%20Up%20Fy%202010-11/Earlier%20Orders/EXCEL%20MODELS%20FINAL/PwC_MSPGCL_20.12.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idaminfrastructure-my.sharepoint.com/GRID%20Energy/Work/MSPGCL%20True%20Up%20Fy%202010-11/Earlier%20Orders/EXCEL%20MODELS%20FINAL/PwC_MSPGCL_20.12.201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server/btps%20temp%20data/EFFY/Effy-Cost%20DD/Yearly%20dat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server/Users/skedia/Documents/MSPGCL%20FY12%20ARR%20Petition%20and%20Model%2031Mar11/ARR%20formats%20SM%2029Mar1940_old.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126/perf/Performance/PERFORMANCE/CE_FILE/Erai_dam/Water%20_balance_Dec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 3.7"/>
      <sheetName val="CE"/>
      <sheetName val="201-04REL-Final"/>
      <sheetName val="A_3_7"/>
      <sheetName val="Metro consind updation sheet"/>
      <sheetName val="Dom"/>
      <sheetName val="BD-Cons-FY 2017-18"/>
      <sheetName val="Cons- FY 2018-19"/>
      <sheetName val="DVVNL"/>
      <sheetName val="MVVNL"/>
      <sheetName val="PVVNL"/>
      <sheetName val="PuVVNL"/>
      <sheetName val="KESCo"/>
      <sheetName val="Cons-Existing-re comp"/>
      <sheetName val="Re-computation of sales-19- (2)"/>
      <sheetName val="Sheet4"/>
      <sheetName val="LMV-10 working"/>
      <sheetName val="FY 2017-18 Revenue"/>
      <sheetName val="Discom wise Reveneue FY 2017-18"/>
      <sheetName val="DVVNL_Prop"/>
      <sheetName val="MVVNL_Prop"/>
      <sheetName val="PVVNL_prop"/>
      <sheetName val="PuVVNL_Prop"/>
      <sheetName val="KESCo_Prop"/>
      <sheetName val="Re-computation of sales-19-20"/>
      <sheetName val="????(?????)"/>
      <sheetName val="po-log - curr. rate"/>
      <sheetName val="teo mod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ssumptions"/>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form_x0000_"/>
      <sheetName val="04REL"/>
      <sheetName val="Sept "/>
      <sheetName val="7"/>
      <sheetName val="Salient1"/>
      <sheetName val="Labour charges"/>
      <sheetName val="RAJ"/>
      <sheetName val="Feb-06"/>
      <sheetName val="Inputs"/>
      <sheetName val="form"/>
      <sheetName val="form_____________"/>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form_x0000__x0000__x0000__x0000"/>
      <sheetName val="Assumptions"/>
      <sheetName val="form_x005f_x0000__x005f_x0000__x005f_x0000__x0000"/>
      <sheetName val="form_x005f_x0000_"/>
      <sheetName val="form?"/>
      <sheetName val="Ag LF"/>
      <sheetName val="Executive Summary -Thermal"/>
      <sheetName val="Stationwise Thermal &amp; Hydel Gen"/>
      <sheetName val="TWELVE"/>
      <sheetName val="form_"/>
      <sheetName val="all"/>
      <sheetName val="overall"/>
      <sheetName val="Data base"/>
      <sheetName val="form_x005f_x005f_x005f_x0000__x005f_x005f_x005f_x0000__"/>
      <sheetName val="form_x005f_x005f_x005f_x0000_"/>
      <sheetName val="form_x005f_x005f_x005f_x005f_x005f_x005f_x005f_x0000__x"/>
      <sheetName val="form_x005f_x005f_x005f_x005f_x005f_x005f_x005f_x0000_"/>
      <sheetName val="Key_Assume_Common"/>
      <sheetName val="Discom Details"/>
      <sheetName val="data"/>
      <sheetName val="First information "/>
      <sheetName val="annexture-g1"/>
      <sheetName val="PART C"/>
      <sheetName val="Sheet1"/>
      <sheetName val="Part A General"/>
      <sheetName val="feasibility require"/>
      <sheetName val="MOD - Corrected -As per SLDC "/>
    </sheetNames>
    <sheetDataSet>
      <sheetData sheetId="0" refreshError="1">
        <row r="35">
          <cell r="G35">
            <v>64254.226096970044</v>
          </cell>
          <cell r="H35">
            <v>59093.238057586968</v>
          </cell>
          <cell r="I35">
            <v>63490.540060935658</v>
          </cell>
        </row>
        <row r="44">
          <cell r="G44">
            <v>24259.407938726315</v>
          </cell>
          <cell r="H44">
            <v>16526.511773419461</v>
          </cell>
          <cell r="I44">
            <v>17654.636270525258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E"/>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 3.7"/>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 3_7"/>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 val="Loan Position"/>
      <sheetName val=""/>
      <sheetName val="D-3 Detail"/>
    </sheetNames>
    <sheetDataSet>
      <sheetData sheetId="0">
        <row r="35">
          <cell r="I35">
            <v>63490.540060935658</v>
          </cell>
        </row>
        <row r="44">
          <cell r="I44">
            <v>17654.636270525258</v>
          </cell>
        </row>
      </sheetData>
      <sheetData sheetId="1">
        <row r="35">
          <cell r="I35">
            <v>63490.540060935658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SUMMERY"/>
      <sheetName val="HLY -99-00"/>
      <sheetName val="Hydro Data"/>
      <sheetName val="HLY0001"/>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 val="FIX DATA"/>
      <sheetName val="Inputs"/>
      <sheetName val="Feb-06"/>
      <sheetName val="04REL"/>
      <sheetName val="RAJ"/>
      <sheetName val="all"/>
      <sheetName val="Data"/>
      <sheetName val="17(B) govt"/>
      <sheetName val="DLC"/>
      <sheetName val="1.1 Trs. Fai."/>
      <sheetName val="feasibility require"/>
      <sheetName val="Sheet1"/>
      <sheetName val="STN WISE EMR"/>
      <sheetName val="Dom"/>
      <sheetName val="MO EY"/>
      <sheetName val="MO CY"/>
    </sheetNames>
    <sheetDataSet>
      <sheetData sheetId="0" refreshError="1">
        <row r="1">
          <cell r="P1">
            <v>0.72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 val="Daily_input"/>
      <sheetName val="Daily_report"/>
      <sheetName val="Instruction Sheet"/>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sheetData sheetId="17"/>
      <sheetData sheetId="18"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ddl.40"/>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ssumption_PwC"/>
      <sheetName val="Assumptions"/>
      <sheetName val="Gainloss computation FY 09-10"/>
      <sheetName val="Summary"/>
      <sheetName val="Issue sheet"/>
      <sheetName val="Tables_True up FY 09-10"/>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 val="Gainloss_computation_FY_09-10"/>
      <sheetName val="Issue_sheet"/>
      <sheetName val="Tables_True_up_FY_09-10"/>
      <sheetName val="O&amp;M_costs"/>
      <sheetName val="F2_1(Bhu)"/>
      <sheetName val="F2_1(Cha)"/>
      <sheetName val="F2_1(Kor)"/>
      <sheetName val="F2_1(Parli)"/>
      <sheetName val="F2_1(Paras)"/>
      <sheetName val="F2_1(Nasi)"/>
      <sheetName val="F2_1(Uran)"/>
      <sheetName val="F2_1(Kha)"/>
      <sheetName val="Capex_Bhu"/>
      <sheetName val="Capex_Cha"/>
      <sheetName val="Capex_Kor"/>
      <sheetName val="Capex_Paras"/>
      <sheetName val="Capex_Kha"/>
      <sheetName val="Capex_parli"/>
      <sheetName val="Capex_Nasi"/>
      <sheetName val="Capex_Uran"/>
      <sheetName val="Capex_Hydro"/>
      <sheetName val="F2_2(Bhu)"/>
      <sheetName val="F2_3(Bhu)"/>
      <sheetName val="F2_6(Bhu)"/>
      <sheetName val="F3_1(Bhu)"/>
      <sheetName val="F3_2(Bhu)"/>
      <sheetName val="F3_3(Bhu)"/>
      <sheetName val="F5_1(Bhu)"/>
      <sheetName val="F5_2(Bhu)"/>
      <sheetName val="F5_3(Bhu)"/>
      <sheetName val="F5_4(Bhu)"/>
      <sheetName val="F2_2(Cha)"/>
      <sheetName val="F2_3(Cha)"/>
      <sheetName val="F2_6(Cha)"/>
      <sheetName val="F3_1(Cha)"/>
      <sheetName val="F3_2(Cha)"/>
      <sheetName val="F3_3(Cha)"/>
      <sheetName val="F5_1(Cha)"/>
      <sheetName val="F5_2(Cha)"/>
      <sheetName val="F5_3(Cha)"/>
      <sheetName val="F5_4(Cha)"/>
      <sheetName val="O&amp;m_EXP_"/>
      <sheetName val="F2_2(Kor)"/>
      <sheetName val="F2_3(Kor)"/>
      <sheetName val="F2_6(Kor)"/>
      <sheetName val="F3_1(Kor)"/>
      <sheetName val="F3_2(Kor)"/>
      <sheetName val="F3_3(Kor)"/>
      <sheetName val="F5_4(Kor)"/>
      <sheetName val="F5_1(Kor)"/>
      <sheetName val="F5_2(Kor)"/>
      <sheetName val="F5_3(Kor)"/>
      <sheetName val="F2_2(Paras)"/>
      <sheetName val="F2_3(Paras)"/>
      <sheetName val="F2_6(Paras)"/>
      <sheetName val="F3_1(Paras)"/>
      <sheetName val="F3_2(Paras)"/>
      <sheetName val="F3_3(Paras)"/>
      <sheetName val="F5_1(Paras)"/>
      <sheetName val="F5_2(Paras)"/>
      <sheetName val="F5_3(Paras)"/>
      <sheetName val="F5_4(Paras)"/>
      <sheetName val="F2_2(Parli)"/>
      <sheetName val="F2_3(Parli)"/>
      <sheetName val="F2_6(Parli)"/>
      <sheetName val="F3_1(Parli)"/>
      <sheetName val="F3_2(Parli)"/>
      <sheetName val="F3_3(Parli)"/>
      <sheetName val="F5_1(Parli)"/>
      <sheetName val="F5_2(Parli)"/>
      <sheetName val="F5_3(Parli)"/>
      <sheetName val="F5_4(Parli)"/>
      <sheetName val="F2_2(Kha)"/>
      <sheetName val="F2_3(Kha)"/>
      <sheetName val="F2_6(Kha)"/>
      <sheetName val="F3_1(Kha)"/>
      <sheetName val="F3_2(Kha)"/>
      <sheetName val="F3_3(Kha)"/>
      <sheetName val="F5_1(Kha)"/>
      <sheetName val="F5_2(Kha)"/>
      <sheetName val="F5_3(Kha)"/>
      <sheetName val="F5_4(Kha)"/>
      <sheetName val="F2_2(Nasi)"/>
      <sheetName val="F2_3(Nasi)"/>
      <sheetName val="F2_6(Nasi)"/>
      <sheetName val="F3_1(Nasi)"/>
      <sheetName val="F3_2(Nasi)"/>
      <sheetName val="F3_3(Nasi)"/>
      <sheetName val="F5_1(Nasi)"/>
      <sheetName val="F5_3(Nasi)"/>
      <sheetName val="F5_2(Nasi)"/>
      <sheetName val="F5_4(Nasi)"/>
      <sheetName val="F2_2(Uran)"/>
      <sheetName val="F2_3(Uran)"/>
      <sheetName val="F2_6(Uran)"/>
      <sheetName val="F3_1(Uran)"/>
      <sheetName val="F3_2(Uran)"/>
      <sheetName val="F3_3(Uran)"/>
      <sheetName val="F5_1(Uran)"/>
      <sheetName val="F5_2(Uran)"/>
      <sheetName val="F5_3(Uran)"/>
      <sheetName val="F5_4(Uran)"/>
      <sheetName val="F2_1(Hydro)"/>
      <sheetName val="F2_3(Hydro)"/>
      <sheetName val="F2_4(Hydro)"/>
      <sheetName val="F2_6(Hydro)"/>
      <sheetName val="F3_1(Hydro)"/>
      <sheetName val="F3_2(Hydro)"/>
      <sheetName val="F3_3(Hydro)"/>
      <sheetName val="F5_1(Hydro)"/>
      <sheetName val="F5_2(Hydro)"/>
      <sheetName val="F5_4(PuneHydro)"/>
      <sheetName val="F5_3(PuneHydro)"/>
      <sheetName val="F5_3(NasikHydro)"/>
      <sheetName val="F5_4(NasikHydro)"/>
      <sheetName val="F5_4(Koyna)"/>
      <sheetName val="F5_3(Koyna)"/>
      <sheetName val="Revised_True_Up_200809"/>
      <sheetName val="Impact_of_FY_08-09"/>
    </sheetNames>
    <sheetDataSet>
      <sheetData sheetId="0">
        <row r="7">
          <cell r="D7">
            <v>0.1074</v>
          </cell>
          <cell r="E7">
            <v>0.1055</v>
          </cell>
        </row>
        <row r="8">
          <cell r="D8">
            <v>8.1799999999999998E-2</v>
          </cell>
        </row>
        <row r="116">
          <cell r="C116">
            <v>0.11749999999999999</v>
          </cell>
        </row>
      </sheetData>
      <sheetData sheetId="1">
        <row r="3">
          <cell r="B3">
            <v>7.8600000000000003E-2</v>
          </cell>
        </row>
        <row r="16">
          <cell r="B16">
            <v>0.13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30">
          <cell r="V30">
            <v>27.489999999999995</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30">
          <cell r="V30">
            <v>27.489999999999995</v>
          </cell>
        </row>
      </sheetData>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ssumptions"/>
      <sheetName val="Gainloss computation FY 09-10"/>
      <sheetName val="Summary"/>
      <sheetName val="Issue sheet"/>
      <sheetName val="Tables_True up FY 09-10"/>
      <sheetName val="Assumption_PwC"/>
      <sheetName val="O&amp;M costs"/>
      <sheetName val="Sheet1"/>
      <sheetName val="F1(Bhu)"/>
      <sheetName val="F1(Cha)"/>
      <sheetName val="F1(Paras)"/>
      <sheetName val="F1(Kor)"/>
      <sheetName val="F1(Parli)"/>
      <sheetName val="F1(Kha)"/>
      <sheetName val="F1(Nasi)"/>
      <sheetName val="F1(Uran)"/>
      <sheetName val="F1(Hydro)"/>
      <sheetName val="F2.1(Bhu)"/>
      <sheetName val="F2.1(Cha)"/>
      <sheetName val="F2.1(Kor)"/>
      <sheetName val="F2.1(Parli)"/>
      <sheetName val="F2.1(Paras)"/>
      <sheetName val="F2.1(Nasi)"/>
      <sheetName val="F2.1(Uran)"/>
      <sheetName val="F2.1(Kha)"/>
      <sheetName val="Capex Bhu"/>
      <sheetName val="Capex Cha"/>
      <sheetName val="Capex Kor"/>
      <sheetName val="Capex Paras"/>
      <sheetName val="Capex Kha"/>
      <sheetName val="Capex parli"/>
      <sheetName val="Capex Nasi"/>
      <sheetName val="Capex Uran"/>
      <sheetName val="Capex Hydro"/>
      <sheetName val="F2.2(Bhu)"/>
      <sheetName val="F2.3(Bhu)"/>
      <sheetName val="F2.6(Bhu)"/>
      <sheetName val="F3(Bhu)"/>
      <sheetName val="F3.1(Bhu)"/>
      <sheetName val="F3.2(Bhu)"/>
      <sheetName val="F3.3(Bhu)"/>
      <sheetName val="F4(Bhu)"/>
      <sheetName val="F5(Bhu)"/>
      <sheetName val="F5.1(Bhu)"/>
      <sheetName val="F5.2(Bhu)"/>
      <sheetName val="F5.3(Bhu)"/>
      <sheetName val="F5.4(Bhu)"/>
      <sheetName val="F6(Bhu)"/>
      <sheetName val="F11(Bhu)"/>
      <sheetName val="F12(Bhu)"/>
      <sheetName val="F2.2(Cha)"/>
      <sheetName val="F2.3(Cha)"/>
      <sheetName val="F2.6(Cha)"/>
      <sheetName val="F3(Cha)"/>
      <sheetName val="F3.1(Cha)"/>
      <sheetName val="F3.2(Cha)"/>
      <sheetName val="F3.3(Cha)"/>
      <sheetName val="F4(Cha)"/>
      <sheetName val="F5.1(Cha)"/>
      <sheetName val="F5(Cha)"/>
      <sheetName val="F5.2(Cha)"/>
      <sheetName val="F5.3(Cha)"/>
      <sheetName val="F5.4(Cha)"/>
      <sheetName val="F6(Cha)"/>
      <sheetName val="F11(Cha)"/>
      <sheetName val="F12(Cha)"/>
      <sheetName val="O&amp;m EXP."/>
      <sheetName val="Koradi"/>
      <sheetName val="F2.2(Kor)"/>
      <sheetName val="F2.3(Kor)"/>
      <sheetName val="F2.6(Kor)"/>
      <sheetName val="F3(Kor)"/>
      <sheetName val="F3.1(Kor)"/>
      <sheetName val="F3.2(Kor)"/>
      <sheetName val="F3.3(Kor)"/>
      <sheetName val="F4(Kor)"/>
      <sheetName val="F5.4(Kor)"/>
      <sheetName val="F5(Kor)"/>
      <sheetName val="F5.1(Kor)"/>
      <sheetName val="F5.2(Kor)"/>
      <sheetName val="F5.3(Kor)"/>
      <sheetName val="F6(Kor)"/>
      <sheetName val="F11(Kor)"/>
      <sheetName val="F12(Kor)"/>
      <sheetName val="Paras"/>
      <sheetName val="F2.2(Paras)"/>
      <sheetName val="F2.3(Paras)"/>
      <sheetName val="F2.6(Paras)"/>
      <sheetName val="F3(Paras)"/>
      <sheetName val="F3.1(Paras)"/>
      <sheetName val="F3.2(Paras)"/>
      <sheetName val="F3.3(Paras)"/>
      <sheetName val="F4(Paras)"/>
      <sheetName val="F5(Paras)"/>
      <sheetName val="F5.1(Paras)"/>
      <sheetName val="F5.2(Paras)"/>
      <sheetName val="F5.3(Paras)"/>
      <sheetName val="F5.4(Paras)"/>
      <sheetName val="F6(Paras)"/>
      <sheetName val="F11(Paras)"/>
      <sheetName val="F12(Paras)"/>
      <sheetName val="Parli"/>
      <sheetName val="F2.2(Parli)"/>
      <sheetName val="F2.3(Parli)"/>
      <sheetName val="F2.6(Parli)"/>
      <sheetName val="F3(Parli)"/>
      <sheetName val="F3.1(Parli)"/>
      <sheetName val="F3.2(Parli)"/>
      <sheetName val="F3.3(Parli)"/>
      <sheetName val="F4(Parli)"/>
      <sheetName val="F5(Parli)"/>
      <sheetName val="F5.1(Parli)"/>
      <sheetName val="F5.2(Parli)"/>
      <sheetName val="F5.3(Parli)"/>
      <sheetName val="F5.4(Parli)"/>
      <sheetName val="F6(Parli)"/>
      <sheetName val="F11(Parli)"/>
      <sheetName val="F12(Parli)"/>
      <sheetName val="Khaperkheda"/>
      <sheetName val="F2.2(Kha)"/>
      <sheetName val="F2.3(Kha)"/>
      <sheetName val="F2.6(Kha)"/>
      <sheetName val="F3(Kha)"/>
      <sheetName val="F3.1(Kha)"/>
      <sheetName val="F3.2(Kha)"/>
      <sheetName val="F3.3(Kha)"/>
      <sheetName val="F4(Kha)"/>
      <sheetName val="F5(Kha)"/>
      <sheetName val="F5.1(Kha)"/>
      <sheetName val="F5.2(Kha)"/>
      <sheetName val="F5.3(Kha)"/>
      <sheetName val="F5.4(Kha)"/>
      <sheetName val="F6(Kha)"/>
      <sheetName val="F11(Kha)"/>
      <sheetName val="F12(Kha)"/>
      <sheetName val="Nasik"/>
      <sheetName val="F2.2(Nasi)"/>
      <sheetName val="F2.3(Nasi)"/>
      <sheetName val="F2.6(Nasi)"/>
      <sheetName val="F3(Nasi)"/>
      <sheetName val="F3.1(Nasi)"/>
      <sheetName val="F3.2(Nasi)"/>
      <sheetName val="F3.3(Nasi)"/>
      <sheetName val="F4(Nasi)"/>
      <sheetName val="F5(Nasi)"/>
      <sheetName val="F5.1(Nasi)"/>
      <sheetName val="F5.3(Nasi)"/>
      <sheetName val="F5.2(Nasi)"/>
      <sheetName val="F5.4(Nasi)"/>
      <sheetName val="F6(Nasi)"/>
      <sheetName val="F11(Nasi)"/>
      <sheetName val="F12(Nasi)"/>
      <sheetName val="Uran"/>
      <sheetName val="F2.2(Uran)"/>
      <sheetName val="F2.3(Uran)"/>
      <sheetName val="F2.6(Uran)"/>
      <sheetName val="F3(Uran)"/>
      <sheetName val="F3.1(Uran)"/>
      <sheetName val="F3.2(Uran)"/>
      <sheetName val="F3.3(Uran)"/>
      <sheetName val="F4(Uran)"/>
      <sheetName val="F5(Uran)"/>
      <sheetName val="F5.1(Uran)"/>
      <sheetName val="F5.2(Uran)"/>
      <sheetName val="F5.3(Uran)"/>
      <sheetName val="F5.4(Uran)"/>
      <sheetName val="F6(Uran)"/>
      <sheetName val="F11(Uran)"/>
      <sheetName val="F12(Uran)"/>
      <sheetName val="Hydro"/>
      <sheetName val="F2.1(Hydro)"/>
      <sheetName val="F2.3(Hydro)"/>
      <sheetName val="F2.4(Hydro)"/>
      <sheetName val="F2.6(Hydro)"/>
      <sheetName val="F3(Hydro)"/>
      <sheetName val="F3.1(Hydro)"/>
      <sheetName val="F3.2(Hydro)"/>
      <sheetName val="F3.3(Hydro)"/>
      <sheetName val="F4(Koyna)"/>
      <sheetName val="F4(PuneHydro)"/>
      <sheetName val="F4(NasikHydro)"/>
      <sheetName val="F5(Hydro)"/>
      <sheetName val="F5.1(Hydro)"/>
      <sheetName val="F5.2(Hydro)"/>
      <sheetName val="F4(Hydro)"/>
      <sheetName val="F5.4(PuneHydro)"/>
      <sheetName val="F5.3(PuneHydro)"/>
      <sheetName val="F5.3(NasikHydro)"/>
      <sheetName val="F5.4(NasikHydro)"/>
      <sheetName val="F5.4(Koyna)"/>
      <sheetName val="F5.3(Koyna)"/>
      <sheetName val="F6(Hydro)"/>
      <sheetName val="F11(Hydro)"/>
      <sheetName val="F12(Hydro)"/>
      <sheetName val="Revised True Up 200809"/>
      <sheetName val="Impact of FY 08-09"/>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000-0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ssumptions"/>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pc cost"/>
      <sheetName val="SUMMERY"/>
      <sheetName val="HLY -99-00"/>
      <sheetName val="Hydro Data"/>
      <sheetName val="HLY0001"/>
      <sheetName val="mnthly-chrt"/>
      <sheetName val="purchase"/>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Assumptions"/>
      <sheetName val="Discom Details"/>
      <sheetName val="A 3.7"/>
      <sheetName val="C.S.GENERATION"/>
      <sheetName val="Cash Flow"/>
      <sheetName val="Sch-3"/>
      <sheetName val="HLY_-99-002"/>
      <sheetName val="Hydro_Data2"/>
      <sheetName val="dpc_cost2"/>
      <sheetName val="Plant_Availability2"/>
      <sheetName val="HLY_-99-001"/>
      <sheetName val="Hydro_Data1"/>
      <sheetName val="dpc_cost1"/>
      <sheetName val="Plant_Availability1"/>
      <sheetName val="all"/>
      <sheetName val="04rel"/>
      <sheetName val="HLY_-99-003"/>
      <sheetName val="Hydro_Data3"/>
      <sheetName val="dpc_cost3"/>
      <sheetName val="Plant_Availability3"/>
      <sheetName val="Discom_Details"/>
      <sheetName val="A_3_7"/>
      <sheetName val="C_S_GENERATION"/>
      <sheetName val="Cash_Flow"/>
      <sheetName val="RAJ"/>
      <sheetName val="DCL AUG 12"/>
      <sheetName val="Index Feb 09"/>
      <sheetName val="Data base Feb 09"/>
      <sheetName val="General"/>
      <sheetName val="7.11 p1"/>
      <sheetName val="strain"/>
      <sheetName val="data"/>
      <sheetName val="HLY_-99-004"/>
      <sheetName val="Hydro_Data4"/>
      <sheetName val="dpc_cost4"/>
      <sheetName val="Plant_Availability4"/>
      <sheetName val="Discom_Details1"/>
      <sheetName val="A_3_71"/>
      <sheetName val="C_S_GENERATION1"/>
      <sheetName val="Cash_Flow1"/>
      <sheetName val="7_11_p1"/>
      <sheetName val="7_11_p11"/>
      <sheetName val="Discom_Details2"/>
      <sheetName val="A_3_72"/>
      <sheetName val="C_S_GENERATION2"/>
      <sheetName val="7_11_p12"/>
      <sheetName val="Form-B"/>
      <sheetName val="tb2002 linked"/>
      <sheetName val="sum"/>
      <sheetName val="DPT-PW"/>
      <sheetName val="Factor_sheet"/>
      <sheetName val="Energy_bal"/>
      <sheetName val="4 Annex 1 Basic rate"/>
      <sheetName val="SCF"/>
      <sheetName val="Report"/>
      <sheetName val="Dispatch 2.0"/>
      <sheetName val="DETAILED  BOQ"/>
      <sheetName val="sep01"/>
      <sheetName val="TRP"/>
      <sheetName val="Dom"/>
      <sheetName val="Inputs"/>
      <sheetName val="Feb-06"/>
      <sheetName val="17(B) govt"/>
      <sheetName val="NOPAT_VDF"/>
      <sheetName val="Invested capital_VDF"/>
      <sheetName val="Conductor Size"/>
      <sheetName val="Addl.40"/>
      <sheetName val="DETAILED__BOQ"/>
      <sheetName val="DCL_AUG_12"/>
      <sheetName val="Index_Feb_09"/>
      <sheetName val="Data_base_Feb_09"/>
      <sheetName val="Dispatch_2_0"/>
      <sheetName val="Addl_40"/>
      <sheetName val="Sheet2"/>
      <sheetName val="FT-05-02IsoBOM"/>
      <sheetName val="1"/>
      <sheetName val="Code"/>
      <sheetName val="Design"/>
      <sheetName val="Coalmine"/>
      <sheetName val="Staff Acco."/>
      <sheetName val="BLR 1"/>
      <sheetName val="GEN"/>
      <sheetName val="GAS"/>
      <sheetName val="DEAE"/>
      <sheetName val="BLR2"/>
      <sheetName val="BLR3"/>
      <sheetName val="BLR4"/>
      <sheetName val="BLR5"/>
      <sheetName val="DEM"/>
      <sheetName val="SAM"/>
      <sheetName val="CHEM"/>
      <sheetName val="COP"/>
      <sheetName val="CFL-KIM"/>
      <sheetName val="XLR_NoRangeSheet"/>
      <sheetName val="B&amp;CM LIST"/>
      <sheetName val="Licensee Information"/>
      <sheetName val="distr RF3"/>
      <sheetName val="HW"/>
      <sheetName val="80S RF3"/>
      <sheetName val="list"/>
      <sheetName val="HLY_-99-005"/>
      <sheetName val="Hydro_Data5"/>
      <sheetName val="dpc_cost5"/>
      <sheetName val="Plant_Availability5"/>
      <sheetName val="Cash_Flow2"/>
      <sheetName val="HLY_-99-006"/>
      <sheetName val="Hydro_Data6"/>
      <sheetName val="dpc_cost6"/>
      <sheetName val="Plant_Availability6"/>
      <sheetName val="Cash_Flow3"/>
      <sheetName val="A_3_73"/>
      <sheetName val="Discom_Details3"/>
      <sheetName val="C_S_GENERATION3"/>
      <sheetName val="HLY_-99-007"/>
      <sheetName val="Hydro_Data7"/>
      <sheetName val="dpc_cost7"/>
      <sheetName val="Plant_Availability7"/>
      <sheetName val="Cash_Flow4"/>
      <sheetName val="A_3_74"/>
      <sheetName val="Discom_Details4"/>
      <sheetName val="C_S_GENERATION4"/>
    </sheetNames>
    <sheetDataSet>
      <sheetData sheetId="0">
        <row r="1">
          <cell r="D1">
            <v>0</v>
          </cell>
        </row>
      </sheetData>
      <sheetData sheetId="1">
        <row r="1">
          <cell r="P1">
            <v>0.72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ow r="1">
          <cell r="D1">
            <v>0</v>
          </cell>
        </row>
      </sheetData>
      <sheetData sheetId="44">
        <row r="1">
          <cell r="D1">
            <v>0</v>
          </cell>
        </row>
      </sheetData>
      <sheetData sheetId="45">
        <row r="1">
          <cell r="D1">
            <v>0</v>
          </cell>
        </row>
      </sheetData>
      <sheetData sheetId="46">
        <row r="1">
          <cell r="D1">
            <v>0</v>
          </cell>
        </row>
      </sheetData>
      <sheetData sheetId="47">
        <row r="1">
          <cell r="D1">
            <v>0</v>
          </cell>
        </row>
      </sheetData>
      <sheetData sheetId="48">
        <row r="1">
          <cell r="D1">
            <v>0</v>
          </cell>
        </row>
      </sheetData>
      <sheetData sheetId="49">
        <row r="1">
          <cell r="D1">
            <v>0</v>
          </cell>
        </row>
      </sheetData>
      <sheetData sheetId="50">
        <row r="1">
          <cell r="D1">
            <v>0</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1">
          <cell r="D1">
            <v>0</v>
          </cell>
        </row>
      </sheetData>
      <sheetData sheetId="60">
        <row r="1">
          <cell r="D1">
            <v>0</v>
          </cell>
        </row>
      </sheetData>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ow r="1">
          <cell r="D1">
            <v>0</v>
          </cell>
        </row>
      </sheetData>
      <sheetData sheetId="93">
        <row r="1">
          <cell r="D1">
            <v>0</v>
          </cell>
        </row>
      </sheetData>
      <sheetData sheetId="94">
        <row r="1">
          <cell r="D1">
            <v>0</v>
          </cell>
        </row>
      </sheetData>
      <sheetData sheetId="95">
        <row r="1">
          <cell r="D1">
            <v>0</v>
          </cell>
        </row>
      </sheetData>
      <sheetData sheetId="96">
        <row r="1">
          <cell r="D1">
            <v>0</v>
          </cell>
        </row>
      </sheetData>
      <sheetData sheetId="97">
        <row r="1">
          <cell r="D1">
            <v>0</v>
          </cell>
        </row>
      </sheetData>
      <sheetData sheetId="98">
        <row r="1">
          <cell r="D1">
            <v>0</v>
          </cell>
        </row>
      </sheetData>
      <sheetData sheetId="99">
        <row r="1">
          <cell r="D1">
            <v>0</v>
          </cell>
        </row>
      </sheetData>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Level_qt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MERC/Capex/SLDC/@020-21/E-Letter"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0"/>
  <dimension ref="B1:N33"/>
  <sheetViews>
    <sheetView showGridLines="0" view="pageBreakPreview" zoomScaleSheetLayoutView="100" workbookViewId="0">
      <selection activeCell="F12" sqref="F12"/>
    </sheetView>
  </sheetViews>
  <sheetFormatPr defaultColWidth="9.28515625" defaultRowHeight="15"/>
  <cols>
    <col min="1" max="1" width="6.28515625" style="3" customWidth="1"/>
    <col min="2" max="2" width="7" style="55" customWidth="1"/>
    <col min="3" max="3" width="69.7109375" style="3" customWidth="1"/>
    <col min="4" max="4" width="19.7109375" style="3" customWidth="1"/>
    <col min="5" max="5" width="5.42578125" style="3" customWidth="1"/>
    <col min="6" max="14" width="18.7109375" style="3" customWidth="1"/>
    <col min="15" max="16384" width="9.28515625" style="3"/>
  </cols>
  <sheetData>
    <row r="1" spans="2:14" ht="17.25" customHeight="1"/>
    <row r="2" spans="2:14">
      <c r="B2" s="948" t="s">
        <v>0</v>
      </c>
      <c r="C2" s="948"/>
      <c r="D2" s="948"/>
      <c r="E2" s="163"/>
      <c r="F2" s="163"/>
      <c r="G2" s="163"/>
      <c r="H2" s="163"/>
      <c r="I2" s="163"/>
      <c r="J2" s="163"/>
      <c r="K2" s="163"/>
      <c r="L2" s="163"/>
      <c r="M2" s="163"/>
      <c r="N2" s="163"/>
    </row>
    <row r="3" spans="2:14" s="1" customFormat="1" ht="15" customHeight="1">
      <c r="B3" s="949" t="s">
        <v>1</v>
      </c>
      <c r="C3" s="949"/>
      <c r="D3" s="949"/>
      <c r="E3" s="163"/>
      <c r="F3" s="163"/>
      <c r="G3" s="163"/>
      <c r="H3" s="163"/>
      <c r="I3" s="163"/>
      <c r="J3" s="163"/>
      <c r="K3" s="163"/>
      <c r="L3" s="163"/>
      <c r="M3" s="163"/>
      <c r="N3" s="163"/>
    </row>
    <row r="5" spans="2:14">
      <c r="M5" s="5"/>
    </row>
    <row r="6" spans="2:14" ht="12.75" customHeight="1">
      <c r="B6" s="950" t="s">
        <v>2</v>
      </c>
      <c r="C6" s="952" t="s">
        <v>3</v>
      </c>
      <c r="D6" s="952" t="s">
        <v>4</v>
      </c>
    </row>
    <row r="7" spans="2:14">
      <c r="B7" s="950"/>
      <c r="C7" s="952"/>
      <c r="D7" s="952"/>
    </row>
    <row r="8" spans="2:14">
      <c r="B8" s="951"/>
      <c r="C8" s="953"/>
      <c r="D8" s="953"/>
    </row>
    <row r="9" spans="2:14" ht="18" customHeight="1">
      <c r="B9" s="51">
        <v>1</v>
      </c>
      <c r="C9" s="164" t="s">
        <v>5</v>
      </c>
      <c r="D9" s="165" t="s">
        <v>6</v>
      </c>
    </row>
    <row r="10" spans="2:14" ht="18" customHeight="1">
      <c r="B10" s="51">
        <f>B9+1</f>
        <v>2</v>
      </c>
      <c r="C10" s="164" t="s">
        <v>7</v>
      </c>
      <c r="D10" s="165" t="s">
        <v>8</v>
      </c>
    </row>
    <row r="11" spans="2:14" ht="18" customHeight="1">
      <c r="B11" s="51">
        <f t="shared" ref="B11:B33" si="0">B10+1</f>
        <v>3</v>
      </c>
      <c r="C11" s="164" t="s">
        <v>9</v>
      </c>
      <c r="D11" s="165" t="s">
        <v>10</v>
      </c>
    </row>
    <row r="12" spans="2:14" ht="18" customHeight="1">
      <c r="B12" s="51">
        <v>4</v>
      </c>
      <c r="C12" s="164" t="s">
        <v>11</v>
      </c>
      <c r="D12" s="165" t="s">
        <v>12</v>
      </c>
    </row>
    <row r="13" spans="2:14" ht="18" customHeight="1">
      <c r="B13" s="51">
        <f t="shared" si="0"/>
        <v>5</v>
      </c>
      <c r="C13" s="296" t="s">
        <v>13</v>
      </c>
      <c r="D13" s="165" t="s">
        <v>14</v>
      </c>
    </row>
    <row r="14" spans="2:14" ht="18" customHeight="1">
      <c r="B14" s="51">
        <f t="shared" si="0"/>
        <v>6</v>
      </c>
      <c r="C14" s="297" t="s">
        <v>15</v>
      </c>
      <c r="D14" s="165" t="s">
        <v>16</v>
      </c>
      <c r="G14" s="3">
        <f>3064.45-(4.85%*3064.45)</f>
        <v>2915.8241749999997</v>
      </c>
      <c r="H14" s="3">
        <f>G14+(4.61%*G14)</f>
        <v>3050.2436694674998</v>
      </c>
    </row>
    <row r="15" spans="2:14" ht="18" customHeight="1">
      <c r="B15" s="51">
        <f t="shared" si="0"/>
        <v>7</v>
      </c>
      <c r="C15" s="166" t="s">
        <v>17</v>
      </c>
      <c r="D15" s="165" t="s">
        <v>18</v>
      </c>
    </row>
    <row r="16" spans="2:14" ht="18" customHeight="1">
      <c r="B16" s="51">
        <f t="shared" si="0"/>
        <v>8</v>
      </c>
      <c r="C16" s="164" t="s">
        <v>19</v>
      </c>
      <c r="D16" s="165" t="s">
        <v>20</v>
      </c>
    </row>
    <row r="17" spans="2:4" ht="18" customHeight="1">
      <c r="B17" s="51">
        <f t="shared" si="0"/>
        <v>9</v>
      </c>
      <c r="C17" s="164" t="s">
        <v>21</v>
      </c>
      <c r="D17" s="165" t="s">
        <v>22</v>
      </c>
    </row>
    <row r="18" spans="2:4" ht="18.600000000000001" customHeight="1">
      <c r="B18" s="51">
        <f t="shared" si="0"/>
        <v>10</v>
      </c>
      <c r="C18" s="164" t="s">
        <v>23</v>
      </c>
      <c r="D18" s="165" t="s">
        <v>24</v>
      </c>
    </row>
    <row r="19" spans="2:4" ht="18" customHeight="1">
      <c r="B19" s="51">
        <f t="shared" si="0"/>
        <v>11</v>
      </c>
      <c r="C19" s="164" t="s">
        <v>25</v>
      </c>
      <c r="D19" s="165" t="s">
        <v>26</v>
      </c>
    </row>
    <row r="20" spans="2:4" ht="39" customHeight="1">
      <c r="B20" s="51">
        <f t="shared" si="0"/>
        <v>12</v>
      </c>
      <c r="C20" s="365" t="s">
        <v>27</v>
      </c>
      <c r="D20" s="165" t="s">
        <v>28</v>
      </c>
    </row>
    <row r="21" spans="2:4" ht="18" customHeight="1">
      <c r="B21" s="51">
        <f t="shared" si="0"/>
        <v>13</v>
      </c>
      <c r="C21" s="365" t="s">
        <v>29</v>
      </c>
      <c r="D21" s="165" t="s">
        <v>30</v>
      </c>
    </row>
    <row r="22" spans="2:4" ht="18" customHeight="1">
      <c r="B22" s="51">
        <f t="shared" si="0"/>
        <v>14</v>
      </c>
      <c r="C22" s="167" t="s">
        <v>31</v>
      </c>
      <c r="D22" s="165" t="s">
        <v>32</v>
      </c>
    </row>
    <row r="23" spans="2:4" ht="18" customHeight="1">
      <c r="B23" s="51">
        <f t="shared" si="0"/>
        <v>15</v>
      </c>
      <c r="C23" s="167" t="s">
        <v>33</v>
      </c>
      <c r="D23" s="165" t="s">
        <v>34</v>
      </c>
    </row>
    <row r="24" spans="2:4" ht="18" customHeight="1">
      <c r="B24" s="51">
        <f t="shared" si="0"/>
        <v>16</v>
      </c>
      <c r="C24" s="164" t="s">
        <v>35</v>
      </c>
      <c r="D24" s="165" t="s">
        <v>36</v>
      </c>
    </row>
    <row r="25" spans="2:4" ht="18" customHeight="1">
      <c r="B25" s="51">
        <f t="shared" si="0"/>
        <v>17</v>
      </c>
      <c r="C25" s="164" t="s">
        <v>37</v>
      </c>
      <c r="D25" s="165" t="s">
        <v>38</v>
      </c>
    </row>
    <row r="26" spans="2:4" ht="18" customHeight="1">
      <c r="B26" s="51">
        <f t="shared" si="0"/>
        <v>18</v>
      </c>
      <c r="C26" s="164" t="s">
        <v>39</v>
      </c>
      <c r="D26" s="165" t="s">
        <v>40</v>
      </c>
    </row>
    <row r="27" spans="2:4" ht="18" customHeight="1">
      <c r="B27" s="51">
        <f t="shared" si="0"/>
        <v>19</v>
      </c>
      <c r="C27" s="164" t="s">
        <v>41</v>
      </c>
      <c r="D27" s="165" t="s">
        <v>42</v>
      </c>
    </row>
    <row r="28" spans="2:4">
      <c r="B28" s="51">
        <f t="shared" si="0"/>
        <v>20</v>
      </c>
      <c r="C28" s="164" t="s">
        <v>43</v>
      </c>
      <c r="D28" s="165" t="s">
        <v>44</v>
      </c>
    </row>
    <row r="29" spans="2:4">
      <c r="B29" s="51">
        <f t="shared" si="0"/>
        <v>21</v>
      </c>
      <c r="C29" s="164" t="s">
        <v>45</v>
      </c>
      <c r="D29" s="165" t="s">
        <v>46</v>
      </c>
    </row>
    <row r="30" spans="2:4">
      <c r="B30" s="51">
        <f t="shared" si="0"/>
        <v>22</v>
      </c>
      <c r="C30" s="164" t="s">
        <v>47</v>
      </c>
      <c r="D30" s="165" t="s">
        <v>48</v>
      </c>
    </row>
    <row r="31" spans="2:4">
      <c r="B31" s="51">
        <f t="shared" si="0"/>
        <v>23</v>
      </c>
      <c r="C31" s="164" t="s">
        <v>49</v>
      </c>
      <c r="D31" s="165" t="s">
        <v>50</v>
      </c>
    </row>
    <row r="32" spans="2:4">
      <c r="B32" s="51">
        <f t="shared" si="0"/>
        <v>24</v>
      </c>
      <c r="C32" s="164" t="s">
        <v>51</v>
      </c>
      <c r="D32" s="165" t="s">
        <v>52</v>
      </c>
    </row>
    <row r="33" spans="2:4">
      <c r="B33" s="51">
        <f t="shared" si="0"/>
        <v>25</v>
      </c>
      <c r="C33" s="164" t="s">
        <v>53</v>
      </c>
      <c r="D33" s="165" t="s">
        <v>54</v>
      </c>
    </row>
  </sheetData>
  <mergeCells count="5">
    <mergeCell ref="B2:D2"/>
    <mergeCell ref="B3:D3"/>
    <mergeCell ref="B6:B8"/>
    <mergeCell ref="C6:C8"/>
    <mergeCell ref="D6:D8"/>
  </mergeCells>
  <phoneticPr fontId="0" type="noConversion"/>
  <pageMargins left="1.02" right="0.25" top="1" bottom="1" header="0.25" footer="0.25"/>
  <pageSetup paperSize="9" scale="67" orientation="landscape" r:id="rId1"/>
  <headerFooter alignWithMargins="0">
    <oddHeader>&amp;F</oddHeader>
  </headerFooter>
</worksheet>
</file>

<file path=xl/worksheets/sheet10.xml><?xml version="1.0" encoding="utf-8"?>
<worksheet xmlns="http://schemas.openxmlformats.org/spreadsheetml/2006/main" xmlns:r="http://schemas.openxmlformats.org/officeDocument/2006/relationships">
  <sheetPr>
    <pageSetUpPr fitToPage="1"/>
  </sheetPr>
  <dimension ref="A1:L594"/>
  <sheetViews>
    <sheetView view="pageBreakPreview" topLeftCell="A9" zoomScale="60" workbookViewId="0">
      <selection activeCell="K10" sqref="K10"/>
    </sheetView>
  </sheetViews>
  <sheetFormatPr defaultColWidth="8.85546875" defaultRowHeight="12.75"/>
  <cols>
    <col min="3" max="3" width="11.42578125" customWidth="1"/>
    <col min="4" max="4" width="45.140625" bestFit="1" customWidth="1"/>
    <col min="5" max="5" width="16.140625" bestFit="1" customWidth="1"/>
    <col min="6" max="6" width="14.28515625" bestFit="1" customWidth="1"/>
    <col min="7" max="7" width="29.7109375" customWidth="1"/>
    <col min="8" max="8" width="14.28515625" bestFit="1" customWidth="1"/>
    <col min="10" max="10" width="17.7109375" customWidth="1"/>
    <col min="11" max="11" width="14.28515625" customWidth="1"/>
  </cols>
  <sheetData>
    <row r="1" spans="1:5" ht="15.75">
      <c r="A1" s="406" t="s">
        <v>714</v>
      </c>
      <c r="B1" s="399"/>
      <c r="C1" s="399"/>
      <c r="D1" s="399"/>
      <c r="E1" s="399"/>
    </row>
    <row r="2" spans="1:5" ht="15.75">
      <c r="A2" s="407" t="s">
        <v>1063</v>
      </c>
      <c r="B2" s="399"/>
      <c r="C2" s="399"/>
      <c r="D2" s="399"/>
      <c r="E2" s="399"/>
    </row>
    <row r="3" spans="1:5" ht="15">
      <c r="A3" s="403" t="s">
        <v>716</v>
      </c>
      <c r="B3" s="403" t="s">
        <v>717</v>
      </c>
      <c r="C3" s="403" t="s">
        <v>718</v>
      </c>
      <c r="D3" s="404" t="s">
        <v>719</v>
      </c>
      <c r="E3" s="403" t="s">
        <v>1064</v>
      </c>
    </row>
    <row r="4" spans="1:5" ht="15">
      <c r="A4" s="402">
        <v>100020</v>
      </c>
      <c r="B4" s="402">
        <v>8000</v>
      </c>
      <c r="C4" s="402" t="s">
        <v>721</v>
      </c>
      <c r="D4" s="400" t="s">
        <v>722</v>
      </c>
      <c r="E4" s="401">
        <v>0</v>
      </c>
    </row>
    <row r="5" spans="1:5" ht="15">
      <c r="A5" s="402">
        <v>100054</v>
      </c>
      <c r="B5" s="402">
        <v>8000</v>
      </c>
      <c r="C5" s="402" t="s">
        <v>721</v>
      </c>
      <c r="D5" s="400" t="s">
        <v>723</v>
      </c>
      <c r="E5" s="401">
        <v>-18954651.260000002</v>
      </c>
    </row>
    <row r="6" spans="1:5" ht="15">
      <c r="A6" s="402">
        <v>101060</v>
      </c>
      <c r="B6" s="402">
        <v>8000</v>
      </c>
      <c r="C6" s="402" t="s">
        <v>721</v>
      </c>
      <c r="D6" s="400" t="s">
        <v>724</v>
      </c>
      <c r="E6" s="401">
        <v>0</v>
      </c>
    </row>
    <row r="7" spans="1:5" ht="15">
      <c r="A7" s="402">
        <v>101060</v>
      </c>
      <c r="B7" s="402">
        <v>8100</v>
      </c>
      <c r="C7" s="402" t="s">
        <v>725</v>
      </c>
      <c r="D7" s="400" t="s">
        <v>724</v>
      </c>
      <c r="E7" s="401">
        <v>0</v>
      </c>
    </row>
    <row r="8" spans="1:5" ht="15">
      <c r="A8" s="402">
        <v>101070</v>
      </c>
      <c r="B8" s="402">
        <v>8000</v>
      </c>
      <c r="C8" s="402" t="s">
        <v>721</v>
      </c>
      <c r="D8" s="400" t="s">
        <v>726</v>
      </c>
      <c r="E8" s="401">
        <v>-598820285.97000003</v>
      </c>
    </row>
    <row r="9" spans="1:5" ht="15">
      <c r="A9" s="402">
        <v>102010</v>
      </c>
      <c r="B9" s="402">
        <v>8000</v>
      </c>
      <c r="C9" s="402" t="s">
        <v>721</v>
      </c>
      <c r="D9" s="400" t="s">
        <v>727</v>
      </c>
      <c r="E9" s="401">
        <v>-1041929719.29</v>
      </c>
    </row>
    <row r="10" spans="1:5" ht="15">
      <c r="A10" s="402">
        <v>102010</v>
      </c>
      <c r="B10" s="402">
        <v>8100</v>
      </c>
      <c r="C10" s="402" t="s">
        <v>725</v>
      </c>
      <c r="D10" s="400" t="s">
        <v>727</v>
      </c>
      <c r="E10" s="401">
        <v>777873270.86000001</v>
      </c>
    </row>
    <row r="11" spans="1:5" ht="15">
      <c r="A11" s="402">
        <v>122010</v>
      </c>
      <c r="B11" s="402">
        <v>8000</v>
      </c>
      <c r="C11" s="402" t="s">
        <v>721</v>
      </c>
      <c r="D11" s="400" t="s">
        <v>728</v>
      </c>
      <c r="E11" s="401">
        <v>4582100</v>
      </c>
    </row>
    <row r="12" spans="1:5" ht="15">
      <c r="A12" s="402">
        <v>123030</v>
      </c>
      <c r="B12" s="402">
        <v>8000</v>
      </c>
      <c r="C12" s="402" t="s">
        <v>721</v>
      </c>
      <c r="D12" s="400" t="s">
        <v>729</v>
      </c>
      <c r="E12" s="401">
        <v>-1742115.46</v>
      </c>
    </row>
    <row r="13" spans="1:5" ht="15">
      <c r="A13" s="402">
        <v>123030</v>
      </c>
      <c r="B13" s="402">
        <v>8100</v>
      </c>
      <c r="C13" s="402" t="s">
        <v>725</v>
      </c>
      <c r="D13" s="400" t="s">
        <v>729</v>
      </c>
      <c r="E13" s="401">
        <v>-940332</v>
      </c>
    </row>
    <row r="14" spans="1:5" ht="15">
      <c r="A14" s="402">
        <v>123050</v>
      </c>
      <c r="B14" s="402">
        <v>8000</v>
      </c>
      <c r="C14" s="402" t="s">
        <v>721</v>
      </c>
      <c r="D14" s="400" t="s">
        <v>730</v>
      </c>
      <c r="E14" s="401">
        <v>-2053758.72</v>
      </c>
    </row>
    <row r="15" spans="1:5" ht="15">
      <c r="A15" s="402">
        <v>123050</v>
      </c>
      <c r="B15" s="402">
        <v>8100</v>
      </c>
      <c r="C15" s="402" t="s">
        <v>725</v>
      </c>
      <c r="D15" s="400" t="s">
        <v>730</v>
      </c>
      <c r="E15" s="401">
        <v>-87339.35</v>
      </c>
    </row>
    <row r="16" spans="1:5" ht="15">
      <c r="A16" s="402">
        <v>123060</v>
      </c>
      <c r="B16" s="402">
        <v>8000</v>
      </c>
      <c r="C16" s="402" t="s">
        <v>721</v>
      </c>
      <c r="D16" s="400" t="s">
        <v>731</v>
      </c>
      <c r="E16" s="401">
        <v>-2594281</v>
      </c>
    </row>
    <row r="17" spans="1:5" ht="15">
      <c r="A17" s="402">
        <v>123060</v>
      </c>
      <c r="B17" s="402">
        <v>8100</v>
      </c>
      <c r="C17" s="402" t="s">
        <v>725</v>
      </c>
      <c r="D17" s="400" t="s">
        <v>731</v>
      </c>
      <c r="E17" s="401">
        <v>-128225</v>
      </c>
    </row>
    <row r="18" spans="1:5" ht="15">
      <c r="A18" s="402">
        <v>123070</v>
      </c>
      <c r="B18" s="402">
        <v>8000</v>
      </c>
      <c r="C18" s="402" t="s">
        <v>721</v>
      </c>
      <c r="D18" s="400" t="s">
        <v>732</v>
      </c>
      <c r="E18" s="401">
        <v>0</v>
      </c>
    </row>
    <row r="19" spans="1:5" ht="15">
      <c r="A19" s="402">
        <v>123090</v>
      </c>
      <c r="B19" s="402">
        <v>8000</v>
      </c>
      <c r="C19" s="402" t="s">
        <v>721</v>
      </c>
      <c r="D19" s="400" t="s">
        <v>733</v>
      </c>
      <c r="E19" s="401">
        <v>-1300009.23</v>
      </c>
    </row>
    <row r="20" spans="1:5" ht="15">
      <c r="A20" s="402">
        <v>123110</v>
      </c>
      <c r="B20" s="402">
        <v>8000</v>
      </c>
      <c r="C20" s="402" t="s">
        <v>721</v>
      </c>
      <c r="D20" s="400" t="s">
        <v>734</v>
      </c>
      <c r="E20" s="401">
        <v>0</v>
      </c>
    </row>
    <row r="21" spans="1:5" ht="15">
      <c r="A21" s="402">
        <v>123110</v>
      </c>
      <c r="B21" s="402">
        <v>8100</v>
      </c>
      <c r="C21" s="402" t="s">
        <v>725</v>
      </c>
      <c r="D21" s="400" t="s">
        <v>734</v>
      </c>
      <c r="E21" s="401">
        <v>-91810</v>
      </c>
    </row>
    <row r="22" spans="1:5" ht="15">
      <c r="A22" s="402">
        <v>130010</v>
      </c>
      <c r="B22" s="402">
        <v>8000</v>
      </c>
      <c r="C22" s="402" t="s">
        <v>721</v>
      </c>
      <c r="D22" s="400" t="s">
        <v>735</v>
      </c>
      <c r="E22" s="401">
        <v>-8325929.1399999997</v>
      </c>
    </row>
    <row r="23" spans="1:5" ht="15">
      <c r="A23" s="402">
        <v>130010</v>
      </c>
      <c r="B23" s="402">
        <v>8100</v>
      </c>
      <c r="C23" s="402" t="s">
        <v>725</v>
      </c>
      <c r="D23" s="400" t="s">
        <v>735</v>
      </c>
      <c r="E23" s="401">
        <v>0</v>
      </c>
    </row>
    <row r="24" spans="1:5" ht="15">
      <c r="A24" s="402">
        <v>130020</v>
      </c>
      <c r="B24" s="402">
        <v>8000</v>
      </c>
      <c r="C24" s="402" t="s">
        <v>721</v>
      </c>
      <c r="D24" s="400" t="s">
        <v>736</v>
      </c>
      <c r="E24" s="401">
        <v>-135777.68</v>
      </c>
    </row>
    <row r="25" spans="1:5" ht="15">
      <c r="A25" s="402">
        <v>130020</v>
      </c>
      <c r="B25" s="402">
        <v>8100</v>
      </c>
      <c r="C25" s="402" t="s">
        <v>725</v>
      </c>
      <c r="D25" s="400" t="s">
        <v>736</v>
      </c>
      <c r="E25" s="401">
        <v>-17614.68</v>
      </c>
    </row>
    <row r="26" spans="1:5" ht="15">
      <c r="A26" s="402">
        <v>130040</v>
      </c>
      <c r="B26" s="402">
        <v>8000</v>
      </c>
      <c r="C26" s="402" t="s">
        <v>721</v>
      </c>
      <c r="D26" s="400" t="s">
        <v>737</v>
      </c>
      <c r="E26" s="401">
        <v>0</v>
      </c>
    </row>
    <row r="27" spans="1:5" ht="15">
      <c r="A27" s="402">
        <v>130040</v>
      </c>
      <c r="B27" s="402">
        <v>8100</v>
      </c>
      <c r="C27" s="402" t="s">
        <v>725</v>
      </c>
      <c r="D27" s="400" t="s">
        <v>737</v>
      </c>
      <c r="E27" s="401">
        <v>0</v>
      </c>
    </row>
    <row r="28" spans="1:5" ht="15">
      <c r="A28" s="402">
        <v>131010</v>
      </c>
      <c r="B28" s="402">
        <v>8000</v>
      </c>
      <c r="C28" s="402" t="s">
        <v>721</v>
      </c>
      <c r="D28" s="400" t="s">
        <v>738</v>
      </c>
      <c r="E28" s="401">
        <v>-9971731.4100000001</v>
      </c>
    </row>
    <row r="29" spans="1:5" ht="15">
      <c r="A29" s="402">
        <v>131010</v>
      </c>
      <c r="B29" s="402">
        <v>8100</v>
      </c>
      <c r="C29" s="402" t="s">
        <v>725</v>
      </c>
      <c r="D29" s="400" t="s">
        <v>738</v>
      </c>
      <c r="E29" s="401">
        <v>-31295.61</v>
      </c>
    </row>
    <row r="30" spans="1:5" ht="15">
      <c r="A30" s="402">
        <v>132010</v>
      </c>
      <c r="B30" s="402">
        <v>8000</v>
      </c>
      <c r="C30" s="402" t="s">
        <v>721</v>
      </c>
      <c r="D30" s="400" t="s">
        <v>739</v>
      </c>
      <c r="E30" s="401">
        <v>0</v>
      </c>
    </row>
    <row r="31" spans="1:5" ht="15">
      <c r="A31" s="402">
        <v>132010</v>
      </c>
      <c r="B31" s="402">
        <v>8100</v>
      </c>
      <c r="C31" s="402" t="s">
        <v>725</v>
      </c>
      <c r="D31" s="400" t="s">
        <v>739</v>
      </c>
      <c r="E31" s="401">
        <v>0</v>
      </c>
    </row>
    <row r="32" spans="1:5" ht="15">
      <c r="A32" s="402">
        <v>133010</v>
      </c>
      <c r="B32" s="402">
        <v>8000</v>
      </c>
      <c r="C32" s="402" t="s">
        <v>721</v>
      </c>
      <c r="D32" s="400" t="s">
        <v>740</v>
      </c>
      <c r="E32" s="401">
        <v>0</v>
      </c>
    </row>
    <row r="33" spans="1:5" ht="15">
      <c r="A33" s="402">
        <v>134010</v>
      </c>
      <c r="B33" s="402">
        <v>8000</v>
      </c>
      <c r="C33" s="402" t="s">
        <v>721</v>
      </c>
      <c r="D33" s="400" t="s">
        <v>741</v>
      </c>
      <c r="E33" s="401">
        <v>0</v>
      </c>
    </row>
    <row r="34" spans="1:5" ht="15">
      <c r="A34" s="402">
        <v>134010</v>
      </c>
      <c r="B34" s="402">
        <v>8100</v>
      </c>
      <c r="C34" s="402" t="s">
        <v>725</v>
      </c>
      <c r="D34" s="400" t="s">
        <v>741</v>
      </c>
      <c r="E34" s="401">
        <v>0</v>
      </c>
    </row>
    <row r="35" spans="1:5" ht="15">
      <c r="A35" s="402">
        <v>135010</v>
      </c>
      <c r="B35" s="402">
        <v>8000</v>
      </c>
      <c r="C35" s="402" t="s">
        <v>721</v>
      </c>
      <c r="D35" s="400" t="s">
        <v>742</v>
      </c>
      <c r="E35" s="401">
        <v>0</v>
      </c>
    </row>
    <row r="36" spans="1:5" ht="15">
      <c r="A36" s="402">
        <v>135010</v>
      </c>
      <c r="B36" s="402">
        <v>8100</v>
      </c>
      <c r="C36" s="402" t="s">
        <v>725</v>
      </c>
      <c r="D36" s="400" t="s">
        <v>742</v>
      </c>
      <c r="E36" s="401">
        <v>0</v>
      </c>
    </row>
    <row r="37" spans="1:5" ht="15">
      <c r="A37" s="402">
        <v>140010</v>
      </c>
      <c r="B37" s="402">
        <v>8000</v>
      </c>
      <c r="C37" s="402" t="s">
        <v>721</v>
      </c>
      <c r="D37" s="400" t="s">
        <v>743</v>
      </c>
      <c r="E37" s="401">
        <v>0</v>
      </c>
    </row>
    <row r="38" spans="1:5" ht="15">
      <c r="A38" s="402">
        <v>140020</v>
      </c>
      <c r="B38" s="402">
        <v>8000</v>
      </c>
      <c r="C38" s="402" t="s">
        <v>721</v>
      </c>
      <c r="D38" s="400" t="s">
        <v>744</v>
      </c>
      <c r="E38" s="401">
        <v>0</v>
      </c>
    </row>
    <row r="39" spans="1:5" ht="15">
      <c r="A39" s="402">
        <v>140020</v>
      </c>
      <c r="B39" s="402">
        <v>8000</v>
      </c>
      <c r="C39" s="402" t="s">
        <v>721</v>
      </c>
      <c r="D39" s="400" t="s">
        <v>744</v>
      </c>
      <c r="E39" s="401">
        <v>0</v>
      </c>
    </row>
    <row r="40" spans="1:5" ht="15">
      <c r="A40" s="402">
        <v>140020</v>
      </c>
      <c r="B40" s="402">
        <v>8100</v>
      </c>
      <c r="C40" s="402" t="s">
        <v>725</v>
      </c>
      <c r="D40" s="400" t="s">
        <v>744</v>
      </c>
      <c r="E40" s="401">
        <v>0</v>
      </c>
    </row>
    <row r="41" spans="1:5" ht="15">
      <c r="A41" s="402">
        <v>140030</v>
      </c>
      <c r="B41" s="402">
        <v>8000</v>
      </c>
      <c r="C41" s="402" t="s">
        <v>721</v>
      </c>
      <c r="D41" s="400" t="s">
        <v>745</v>
      </c>
      <c r="E41" s="401">
        <v>0</v>
      </c>
    </row>
    <row r="42" spans="1:5" ht="15">
      <c r="A42" s="402">
        <v>140060</v>
      </c>
      <c r="B42" s="402">
        <v>8000</v>
      </c>
      <c r="C42" s="402" t="s">
        <v>721</v>
      </c>
      <c r="D42" s="400" t="s">
        <v>746</v>
      </c>
      <c r="E42" s="401">
        <v>0</v>
      </c>
    </row>
    <row r="43" spans="1:5" ht="15">
      <c r="A43" s="402">
        <v>140070</v>
      </c>
      <c r="B43" s="402">
        <v>8000</v>
      </c>
      <c r="C43" s="402" t="s">
        <v>721</v>
      </c>
      <c r="D43" s="400" t="s">
        <v>747</v>
      </c>
      <c r="E43" s="401">
        <v>0</v>
      </c>
    </row>
    <row r="44" spans="1:5" ht="15">
      <c r="A44" s="402">
        <v>140070</v>
      </c>
      <c r="B44" s="402">
        <v>8000</v>
      </c>
      <c r="C44" s="402" t="s">
        <v>721</v>
      </c>
      <c r="D44" s="400" t="s">
        <v>747</v>
      </c>
      <c r="E44" s="401">
        <v>0</v>
      </c>
    </row>
    <row r="45" spans="1:5" ht="15">
      <c r="A45" s="402">
        <v>140070</v>
      </c>
      <c r="B45" s="402">
        <v>8100</v>
      </c>
      <c r="C45" s="402" t="s">
        <v>725</v>
      </c>
      <c r="D45" s="400" t="s">
        <v>747</v>
      </c>
      <c r="E45" s="401">
        <v>0</v>
      </c>
    </row>
    <row r="46" spans="1:5" ht="15">
      <c r="A46" s="402">
        <v>140080</v>
      </c>
      <c r="B46" s="402">
        <v>8000</v>
      </c>
      <c r="C46" s="402" t="s">
        <v>721</v>
      </c>
      <c r="D46" s="400" t="s">
        <v>748</v>
      </c>
      <c r="E46" s="401">
        <v>0</v>
      </c>
    </row>
    <row r="47" spans="1:5" ht="15">
      <c r="A47" s="402">
        <v>140080</v>
      </c>
      <c r="B47" s="402">
        <v>8000</v>
      </c>
      <c r="C47" s="402" t="s">
        <v>721</v>
      </c>
      <c r="D47" s="400" t="s">
        <v>748</v>
      </c>
      <c r="E47" s="401">
        <v>0</v>
      </c>
    </row>
    <row r="48" spans="1:5" ht="15">
      <c r="A48" s="402">
        <v>140080</v>
      </c>
      <c r="B48" s="402">
        <v>8100</v>
      </c>
      <c r="C48" s="402" t="s">
        <v>725</v>
      </c>
      <c r="D48" s="400" t="s">
        <v>748</v>
      </c>
      <c r="E48" s="401">
        <v>0</v>
      </c>
    </row>
    <row r="49" spans="1:5" ht="15">
      <c r="A49" s="402">
        <v>140090</v>
      </c>
      <c r="B49" s="402">
        <v>8000</v>
      </c>
      <c r="C49" s="402" t="s">
        <v>721</v>
      </c>
      <c r="D49" s="400" t="s">
        <v>749</v>
      </c>
      <c r="E49" s="401">
        <v>0</v>
      </c>
    </row>
    <row r="50" spans="1:5" ht="15">
      <c r="A50" s="402">
        <v>140092</v>
      </c>
      <c r="B50" s="402">
        <v>8000</v>
      </c>
      <c r="C50" s="402" t="s">
        <v>721</v>
      </c>
      <c r="D50" s="400" t="s">
        <v>750</v>
      </c>
      <c r="E50" s="401">
        <v>0</v>
      </c>
    </row>
    <row r="51" spans="1:5" ht="15">
      <c r="A51" s="402">
        <v>140092</v>
      </c>
      <c r="B51" s="402">
        <v>8100</v>
      </c>
      <c r="C51" s="402" t="s">
        <v>725</v>
      </c>
      <c r="D51" s="400" t="s">
        <v>750</v>
      </c>
      <c r="E51" s="401">
        <v>0</v>
      </c>
    </row>
    <row r="52" spans="1:5" ht="15">
      <c r="A52" s="402">
        <v>140093</v>
      </c>
      <c r="B52" s="402">
        <v>8000</v>
      </c>
      <c r="C52" s="402" t="s">
        <v>721</v>
      </c>
      <c r="D52" s="400" t="s">
        <v>751</v>
      </c>
      <c r="E52" s="401">
        <v>0</v>
      </c>
    </row>
    <row r="53" spans="1:5" ht="15">
      <c r="A53" s="402">
        <v>140093</v>
      </c>
      <c r="B53" s="402">
        <v>8100</v>
      </c>
      <c r="C53" s="402" t="s">
        <v>725</v>
      </c>
      <c r="D53" s="400" t="s">
        <v>751</v>
      </c>
      <c r="E53" s="401">
        <v>0</v>
      </c>
    </row>
    <row r="54" spans="1:5" ht="15">
      <c r="A54" s="402">
        <v>140100</v>
      </c>
      <c r="B54" s="402">
        <v>8000</v>
      </c>
      <c r="C54" s="402" t="s">
        <v>721</v>
      </c>
      <c r="D54" s="400" t="s">
        <v>752</v>
      </c>
      <c r="E54" s="401">
        <v>0</v>
      </c>
    </row>
    <row r="55" spans="1:5" ht="15">
      <c r="A55" s="402">
        <v>140100</v>
      </c>
      <c r="B55" s="402">
        <v>8000</v>
      </c>
      <c r="C55" s="402" t="s">
        <v>721</v>
      </c>
      <c r="D55" s="400" t="s">
        <v>752</v>
      </c>
      <c r="E55" s="401">
        <v>0</v>
      </c>
    </row>
    <row r="56" spans="1:5" ht="15">
      <c r="A56" s="402">
        <v>140100</v>
      </c>
      <c r="B56" s="402">
        <v>8100</v>
      </c>
      <c r="C56" s="402" t="s">
        <v>725</v>
      </c>
      <c r="D56" s="400" t="s">
        <v>752</v>
      </c>
      <c r="E56" s="401">
        <v>0</v>
      </c>
    </row>
    <row r="57" spans="1:5" ht="15">
      <c r="A57" s="402">
        <v>140110</v>
      </c>
      <c r="B57" s="402">
        <v>8000</v>
      </c>
      <c r="C57" s="402" t="s">
        <v>721</v>
      </c>
      <c r="D57" s="400" t="s">
        <v>753</v>
      </c>
      <c r="E57" s="401">
        <v>0</v>
      </c>
    </row>
    <row r="58" spans="1:5" ht="15">
      <c r="A58" s="402">
        <v>140110</v>
      </c>
      <c r="B58" s="402">
        <v>8000</v>
      </c>
      <c r="C58" s="402" t="s">
        <v>721</v>
      </c>
      <c r="D58" s="400" t="s">
        <v>753</v>
      </c>
      <c r="E58" s="401">
        <v>0</v>
      </c>
    </row>
    <row r="59" spans="1:5" ht="15">
      <c r="A59" s="402">
        <v>140110</v>
      </c>
      <c r="B59" s="402">
        <v>8100</v>
      </c>
      <c r="C59" s="402" t="s">
        <v>725</v>
      </c>
      <c r="D59" s="400" t="s">
        <v>753</v>
      </c>
      <c r="E59" s="401">
        <v>0</v>
      </c>
    </row>
    <row r="60" spans="1:5" ht="15">
      <c r="A60" s="402">
        <v>140111</v>
      </c>
      <c r="B60" s="402">
        <v>8000</v>
      </c>
      <c r="C60" s="402" t="s">
        <v>721</v>
      </c>
      <c r="D60" s="400" t="s">
        <v>754</v>
      </c>
      <c r="E60" s="401">
        <v>0</v>
      </c>
    </row>
    <row r="61" spans="1:5" ht="15">
      <c r="A61" s="402">
        <v>140111</v>
      </c>
      <c r="B61" s="402">
        <v>8100</v>
      </c>
      <c r="C61" s="402" t="s">
        <v>725</v>
      </c>
      <c r="D61" s="400" t="s">
        <v>754</v>
      </c>
      <c r="E61" s="401">
        <v>0</v>
      </c>
    </row>
    <row r="62" spans="1:5" ht="15">
      <c r="A62" s="402">
        <v>140112</v>
      </c>
      <c r="B62" s="402">
        <v>8000</v>
      </c>
      <c r="C62" s="402" t="s">
        <v>721</v>
      </c>
      <c r="D62" s="400" t="s">
        <v>755</v>
      </c>
      <c r="E62" s="401">
        <v>0</v>
      </c>
    </row>
    <row r="63" spans="1:5" ht="15">
      <c r="A63" s="402">
        <v>140112</v>
      </c>
      <c r="B63" s="402">
        <v>8100</v>
      </c>
      <c r="C63" s="402" t="s">
        <v>725</v>
      </c>
      <c r="D63" s="400" t="s">
        <v>755</v>
      </c>
      <c r="E63" s="401">
        <v>0</v>
      </c>
    </row>
    <row r="64" spans="1:5" ht="15">
      <c r="A64" s="402">
        <v>140113</v>
      </c>
      <c r="B64" s="402">
        <v>8000</v>
      </c>
      <c r="C64" s="402" t="s">
        <v>721</v>
      </c>
      <c r="D64" s="400" t="s">
        <v>756</v>
      </c>
      <c r="E64" s="401">
        <v>0</v>
      </c>
    </row>
    <row r="65" spans="1:5" ht="15">
      <c r="A65" s="402">
        <v>140113</v>
      </c>
      <c r="B65" s="402">
        <v>8100</v>
      </c>
      <c r="C65" s="402" t="s">
        <v>725</v>
      </c>
      <c r="D65" s="400" t="s">
        <v>756</v>
      </c>
      <c r="E65" s="401">
        <v>0</v>
      </c>
    </row>
    <row r="66" spans="1:5" ht="15">
      <c r="A66" s="402">
        <v>140114</v>
      </c>
      <c r="B66" s="402">
        <v>8000</v>
      </c>
      <c r="C66" s="402" t="s">
        <v>721</v>
      </c>
      <c r="D66" s="400" t="s">
        <v>757</v>
      </c>
      <c r="E66" s="401">
        <v>0</v>
      </c>
    </row>
    <row r="67" spans="1:5" ht="15">
      <c r="A67" s="402">
        <v>140120</v>
      </c>
      <c r="B67" s="402">
        <v>8000</v>
      </c>
      <c r="C67" s="402" t="s">
        <v>721</v>
      </c>
      <c r="D67" s="400" t="s">
        <v>758</v>
      </c>
      <c r="E67" s="401">
        <v>0</v>
      </c>
    </row>
    <row r="68" spans="1:5" ht="15">
      <c r="A68" s="402">
        <v>140130</v>
      </c>
      <c r="B68" s="402">
        <v>8000</v>
      </c>
      <c r="C68" s="402" t="s">
        <v>721</v>
      </c>
      <c r="D68" s="400" t="s">
        <v>759</v>
      </c>
      <c r="E68" s="401">
        <v>0</v>
      </c>
    </row>
    <row r="69" spans="1:5" ht="15">
      <c r="A69" s="402">
        <v>140130</v>
      </c>
      <c r="B69" s="402">
        <v>8100</v>
      </c>
      <c r="C69" s="402" t="s">
        <v>725</v>
      </c>
      <c r="D69" s="400" t="s">
        <v>759</v>
      </c>
      <c r="E69" s="401">
        <v>0</v>
      </c>
    </row>
    <row r="70" spans="1:5" ht="15">
      <c r="A70" s="402">
        <v>140140</v>
      </c>
      <c r="B70" s="402">
        <v>8000</v>
      </c>
      <c r="C70" s="402" t="s">
        <v>721</v>
      </c>
      <c r="D70" s="400" t="s">
        <v>760</v>
      </c>
      <c r="E70" s="401">
        <v>0</v>
      </c>
    </row>
    <row r="71" spans="1:5" ht="15">
      <c r="A71" s="402">
        <v>140140</v>
      </c>
      <c r="B71" s="402">
        <v>8100</v>
      </c>
      <c r="C71" s="402" t="s">
        <v>725</v>
      </c>
      <c r="D71" s="400" t="s">
        <v>760</v>
      </c>
      <c r="E71" s="401">
        <v>0</v>
      </c>
    </row>
    <row r="72" spans="1:5" ht="15">
      <c r="A72" s="402">
        <v>140150</v>
      </c>
      <c r="B72" s="402">
        <v>8000</v>
      </c>
      <c r="C72" s="402" t="s">
        <v>721</v>
      </c>
      <c r="D72" s="400" t="s">
        <v>761</v>
      </c>
      <c r="E72" s="401">
        <v>0</v>
      </c>
    </row>
    <row r="73" spans="1:5" ht="15">
      <c r="A73" s="402">
        <v>140150</v>
      </c>
      <c r="B73" s="402">
        <v>8000</v>
      </c>
      <c r="C73" s="402" t="s">
        <v>721</v>
      </c>
      <c r="D73" s="400" t="s">
        <v>761</v>
      </c>
      <c r="E73" s="401">
        <v>0</v>
      </c>
    </row>
    <row r="74" spans="1:5" ht="15">
      <c r="A74" s="402">
        <v>140150</v>
      </c>
      <c r="B74" s="402">
        <v>8100</v>
      </c>
      <c r="C74" s="402" t="s">
        <v>725</v>
      </c>
      <c r="D74" s="400" t="s">
        <v>761</v>
      </c>
      <c r="E74" s="401">
        <v>0</v>
      </c>
    </row>
    <row r="75" spans="1:5" ht="15">
      <c r="A75" s="402">
        <v>140170</v>
      </c>
      <c r="B75" s="402">
        <v>8000</v>
      </c>
      <c r="C75" s="402" t="s">
        <v>721</v>
      </c>
      <c r="D75" s="400" t="s">
        <v>762</v>
      </c>
      <c r="E75" s="401">
        <v>0</v>
      </c>
    </row>
    <row r="76" spans="1:5" ht="15">
      <c r="A76" s="402">
        <v>140170</v>
      </c>
      <c r="B76" s="402">
        <v>8000</v>
      </c>
      <c r="C76" s="402" t="s">
        <v>721</v>
      </c>
      <c r="D76" s="400" t="s">
        <v>762</v>
      </c>
      <c r="E76" s="401">
        <v>0</v>
      </c>
    </row>
    <row r="77" spans="1:5" ht="15">
      <c r="A77" s="402">
        <v>140170</v>
      </c>
      <c r="B77" s="402">
        <v>8100</v>
      </c>
      <c r="C77" s="402" t="s">
        <v>725</v>
      </c>
      <c r="D77" s="400" t="s">
        <v>762</v>
      </c>
      <c r="E77" s="401">
        <v>0</v>
      </c>
    </row>
    <row r="78" spans="1:5" ht="15">
      <c r="A78" s="402">
        <v>140180</v>
      </c>
      <c r="B78" s="402">
        <v>8000</v>
      </c>
      <c r="C78" s="402" t="s">
        <v>721</v>
      </c>
      <c r="D78" s="400" t="s">
        <v>763</v>
      </c>
      <c r="E78" s="401">
        <v>0</v>
      </c>
    </row>
    <row r="79" spans="1:5" ht="15">
      <c r="A79" s="402">
        <v>140200</v>
      </c>
      <c r="B79" s="402">
        <v>8000</v>
      </c>
      <c r="C79" s="402" t="s">
        <v>721</v>
      </c>
      <c r="D79" s="400" t="s">
        <v>764</v>
      </c>
      <c r="E79" s="401">
        <v>0</v>
      </c>
    </row>
    <row r="80" spans="1:5" ht="15">
      <c r="A80" s="402">
        <v>140200</v>
      </c>
      <c r="B80" s="402">
        <v>8100</v>
      </c>
      <c r="C80" s="402" t="s">
        <v>725</v>
      </c>
      <c r="D80" s="400" t="s">
        <v>764</v>
      </c>
      <c r="E80" s="401">
        <v>0</v>
      </c>
    </row>
    <row r="81" spans="1:5" ht="15">
      <c r="A81" s="402">
        <v>140210</v>
      </c>
      <c r="B81" s="402">
        <v>8000</v>
      </c>
      <c r="C81" s="402" t="s">
        <v>721</v>
      </c>
      <c r="D81" s="400" t="s">
        <v>765</v>
      </c>
      <c r="E81" s="401">
        <v>0</v>
      </c>
    </row>
    <row r="82" spans="1:5" ht="15">
      <c r="A82" s="402">
        <v>140210</v>
      </c>
      <c r="B82" s="402">
        <v>8000</v>
      </c>
      <c r="C82" s="402" t="s">
        <v>721</v>
      </c>
      <c r="D82" s="400" t="s">
        <v>765</v>
      </c>
      <c r="E82" s="401">
        <v>0</v>
      </c>
    </row>
    <row r="83" spans="1:5" ht="15">
      <c r="A83" s="402">
        <v>140210</v>
      </c>
      <c r="B83" s="402">
        <v>8100</v>
      </c>
      <c r="C83" s="402" t="s">
        <v>725</v>
      </c>
      <c r="D83" s="400" t="s">
        <v>765</v>
      </c>
      <c r="E83" s="401">
        <v>0</v>
      </c>
    </row>
    <row r="84" spans="1:5" ht="15">
      <c r="A84" s="402">
        <v>140220</v>
      </c>
      <c r="B84" s="402">
        <v>8000</v>
      </c>
      <c r="C84" s="402" t="s">
        <v>721</v>
      </c>
      <c r="D84" s="400" t="s">
        <v>766</v>
      </c>
      <c r="E84" s="401">
        <v>0</v>
      </c>
    </row>
    <row r="85" spans="1:5" ht="15">
      <c r="A85" s="402">
        <v>140220</v>
      </c>
      <c r="B85" s="402">
        <v>8000</v>
      </c>
      <c r="C85" s="402" t="s">
        <v>721</v>
      </c>
      <c r="D85" s="400" t="s">
        <v>766</v>
      </c>
      <c r="E85" s="401">
        <v>0</v>
      </c>
    </row>
    <row r="86" spans="1:5" ht="15">
      <c r="A86" s="402">
        <v>140220</v>
      </c>
      <c r="B86" s="402">
        <v>8100</v>
      </c>
      <c r="C86" s="402" t="s">
        <v>725</v>
      </c>
      <c r="D86" s="400" t="s">
        <v>766</v>
      </c>
      <c r="E86" s="401">
        <v>0</v>
      </c>
    </row>
    <row r="87" spans="1:5" ht="15">
      <c r="A87" s="402">
        <v>140250</v>
      </c>
      <c r="B87" s="402">
        <v>8000</v>
      </c>
      <c r="C87" s="402" t="s">
        <v>721</v>
      </c>
      <c r="D87" s="400" t="s">
        <v>767</v>
      </c>
      <c r="E87" s="401">
        <v>0</v>
      </c>
    </row>
    <row r="88" spans="1:5" ht="15">
      <c r="A88" s="402">
        <v>140250</v>
      </c>
      <c r="B88" s="402">
        <v>8100</v>
      </c>
      <c r="C88" s="402" t="s">
        <v>725</v>
      </c>
      <c r="D88" s="400" t="s">
        <v>767</v>
      </c>
      <c r="E88" s="401">
        <v>0</v>
      </c>
    </row>
    <row r="89" spans="1:5" ht="15">
      <c r="A89" s="402">
        <v>140251</v>
      </c>
      <c r="B89" s="402">
        <v>8000</v>
      </c>
      <c r="C89" s="402" t="s">
        <v>721</v>
      </c>
      <c r="D89" s="400" t="s">
        <v>768</v>
      </c>
      <c r="E89" s="401">
        <v>0</v>
      </c>
    </row>
    <row r="90" spans="1:5" ht="15">
      <c r="A90" s="402">
        <v>140251</v>
      </c>
      <c r="B90" s="402">
        <v>8100</v>
      </c>
      <c r="C90" s="402" t="s">
        <v>725</v>
      </c>
      <c r="D90" s="400" t="s">
        <v>768</v>
      </c>
      <c r="E90" s="401">
        <v>0</v>
      </c>
    </row>
    <row r="91" spans="1:5" ht="15">
      <c r="A91" s="402">
        <v>140252</v>
      </c>
      <c r="B91" s="402">
        <v>8000</v>
      </c>
      <c r="C91" s="402" t="s">
        <v>721</v>
      </c>
      <c r="D91" s="400" t="s">
        <v>769</v>
      </c>
      <c r="E91" s="401">
        <v>0</v>
      </c>
    </row>
    <row r="92" spans="1:5" ht="15">
      <c r="A92" s="402">
        <v>140252</v>
      </c>
      <c r="B92" s="402">
        <v>8100</v>
      </c>
      <c r="C92" s="402" t="s">
        <v>725</v>
      </c>
      <c r="D92" s="400" t="s">
        <v>769</v>
      </c>
      <c r="E92" s="401">
        <v>0</v>
      </c>
    </row>
    <row r="93" spans="1:5" ht="15">
      <c r="A93" s="402">
        <v>141010</v>
      </c>
      <c r="B93" s="402">
        <v>8000</v>
      </c>
      <c r="C93" s="402" t="s">
        <v>721</v>
      </c>
      <c r="D93" s="400" t="s">
        <v>770</v>
      </c>
      <c r="E93" s="401">
        <v>7388441</v>
      </c>
    </row>
    <row r="94" spans="1:5" ht="15">
      <c r="A94" s="402">
        <v>141010</v>
      </c>
      <c r="B94" s="402">
        <v>8100</v>
      </c>
      <c r="C94" s="402" t="s">
        <v>725</v>
      </c>
      <c r="D94" s="400" t="s">
        <v>770</v>
      </c>
      <c r="E94" s="401">
        <v>97735</v>
      </c>
    </row>
    <row r="95" spans="1:5" ht="15">
      <c r="A95" s="402">
        <v>141020</v>
      </c>
      <c r="B95" s="402">
        <v>8000</v>
      </c>
      <c r="C95" s="402" t="s">
        <v>721</v>
      </c>
      <c r="D95" s="400" t="s">
        <v>771</v>
      </c>
      <c r="E95" s="401">
        <v>9816486</v>
      </c>
    </row>
    <row r="96" spans="1:5" ht="15">
      <c r="A96" s="402">
        <v>141020</v>
      </c>
      <c r="B96" s="402">
        <v>8100</v>
      </c>
      <c r="C96" s="402" t="s">
        <v>725</v>
      </c>
      <c r="D96" s="400" t="s">
        <v>771</v>
      </c>
      <c r="E96" s="401">
        <v>3056457</v>
      </c>
    </row>
    <row r="97" spans="1:5" ht="15">
      <c r="A97" s="402">
        <v>141040</v>
      </c>
      <c r="B97" s="402">
        <v>8000</v>
      </c>
      <c r="C97" s="402" t="s">
        <v>721</v>
      </c>
      <c r="D97" s="400" t="s">
        <v>772</v>
      </c>
      <c r="E97" s="401">
        <v>0</v>
      </c>
    </row>
    <row r="98" spans="1:5" ht="15">
      <c r="A98" s="402">
        <v>143020</v>
      </c>
      <c r="B98" s="402">
        <v>8000</v>
      </c>
      <c r="C98" s="402" t="s">
        <v>721</v>
      </c>
      <c r="D98" s="400" t="s">
        <v>773</v>
      </c>
      <c r="E98" s="401">
        <v>0</v>
      </c>
    </row>
    <row r="99" spans="1:5" ht="15">
      <c r="A99" s="402">
        <v>143030</v>
      </c>
      <c r="B99" s="402">
        <v>8000</v>
      </c>
      <c r="C99" s="402" t="s">
        <v>721</v>
      </c>
      <c r="D99" s="400" t="s">
        <v>774</v>
      </c>
      <c r="E99" s="401">
        <v>-31747</v>
      </c>
    </row>
    <row r="100" spans="1:5" ht="15">
      <c r="A100" s="402">
        <v>143030</v>
      </c>
      <c r="B100" s="402">
        <v>8100</v>
      </c>
      <c r="C100" s="402" t="s">
        <v>725</v>
      </c>
      <c r="D100" s="400" t="s">
        <v>774</v>
      </c>
      <c r="E100" s="401">
        <v>-1047</v>
      </c>
    </row>
    <row r="101" spans="1:5" ht="15">
      <c r="A101" s="402">
        <v>143031</v>
      </c>
      <c r="B101" s="402">
        <v>8000</v>
      </c>
      <c r="C101" s="402" t="s">
        <v>721</v>
      </c>
      <c r="D101" s="400" t="s">
        <v>775</v>
      </c>
      <c r="E101" s="401">
        <v>-36078</v>
      </c>
    </row>
    <row r="102" spans="1:5" ht="15">
      <c r="A102" s="402">
        <v>143031</v>
      </c>
      <c r="B102" s="402">
        <v>8100</v>
      </c>
      <c r="C102" s="402" t="s">
        <v>725</v>
      </c>
      <c r="D102" s="400" t="s">
        <v>775</v>
      </c>
      <c r="E102" s="401">
        <v>0</v>
      </c>
    </row>
    <row r="103" spans="1:5" ht="15">
      <c r="A103" s="402">
        <v>143060</v>
      </c>
      <c r="B103" s="402">
        <v>8000</v>
      </c>
      <c r="C103" s="402" t="s">
        <v>721</v>
      </c>
      <c r="D103" s="400" t="s">
        <v>776</v>
      </c>
      <c r="E103" s="401">
        <v>0</v>
      </c>
    </row>
    <row r="104" spans="1:5" ht="15">
      <c r="A104" s="402">
        <v>143060</v>
      </c>
      <c r="B104" s="402">
        <v>8100</v>
      </c>
      <c r="C104" s="402" t="s">
        <v>725</v>
      </c>
      <c r="D104" s="400" t="s">
        <v>776</v>
      </c>
      <c r="E104" s="401">
        <v>0</v>
      </c>
    </row>
    <row r="105" spans="1:5" ht="15">
      <c r="A105" s="402">
        <v>143090</v>
      </c>
      <c r="B105" s="402">
        <v>8000</v>
      </c>
      <c r="C105" s="402" t="s">
        <v>721</v>
      </c>
      <c r="D105" s="400" t="s">
        <v>777</v>
      </c>
      <c r="E105" s="401">
        <v>0</v>
      </c>
    </row>
    <row r="106" spans="1:5" ht="15">
      <c r="A106" s="402">
        <v>143090</v>
      </c>
      <c r="B106" s="402">
        <v>8100</v>
      </c>
      <c r="C106" s="402" t="s">
        <v>725</v>
      </c>
      <c r="D106" s="400" t="s">
        <v>777</v>
      </c>
      <c r="E106" s="401">
        <v>0</v>
      </c>
    </row>
    <row r="107" spans="1:5" ht="15">
      <c r="A107" s="402">
        <v>143120</v>
      </c>
      <c r="B107" s="402">
        <v>8000</v>
      </c>
      <c r="C107" s="402" t="s">
        <v>721</v>
      </c>
      <c r="D107" s="400" t="s">
        <v>778</v>
      </c>
      <c r="E107" s="401">
        <v>-144663.16</v>
      </c>
    </row>
    <row r="108" spans="1:5" ht="15">
      <c r="A108" s="402">
        <v>143120</v>
      </c>
      <c r="B108" s="402">
        <v>8100</v>
      </c>
      <c r="C108" s="402" t="s">
        <v>725</v>
      </c>
      <c r="D108" s="400" t="s">
        <v>778</v>
      </c>
      <c r="E108" s="401">
        <v>-13411.35</v>
      </c>
    </row>
    <row r="109" spans="1:5" ht="15">
      <c r="A109" s="402">
        <v>143130</v>
      </c>
      <c r="B109" s="402">
        <v>8000</v>
      </c>
      <c r="C109" s="402" t="s">
        <v>721</v>
      </c>
      <c r="D109" s="400" t="s">
        <v>779</v>
      </c>
      <c r="E109" s="401">
        <v>-144663.16</v>
      </c>
    </row>
    <row r="110" spans="1:5" ht="15">
      <c r="A110" s="402">
        <v>143130</v>
      </c>
      <c r="B110" s="402">
        <v>8100</v>
      </c>
      <c r="C110" s="402" t="s">
        <v>725</v>
      </c>
      <c r="D110" s="400" t="s">
        <v>779</v>
      </c>
      <c r="E110" s="401">
        <v>-13411.35</v>
      </c>
    </row>
    <row r="111" spans="1:5" ht="15">
      <c r="A111" s="402">
        <v>143140</v>
      </c>
      <c r="B111" s="402">
        <v>8000</v>
      </c>
      <c r="C111" s="402" t="s">
        <v>721</v>
      </c>
      <c r="D111" s="400" t="s">
        <v>780</v>
      </c>
      <c r="E111" s="401">
        <v>-9781.84</v>
      </c>
    </row>
    <row r="112" spans="1:5" ht="15">
      <c r="A112" s="402">
        <v>144010</v>
      </c>
      <c r="B112" s="402">
        <v>8000</v>
      </c>
      <c r="C112" s="402" t="s">
        <v>721</v>
      </c>
      <c r="D112" s="400" t="s">
        <v>781</v>
      </c>
      <c r="E112" s="401">
        <v>0</v>
      </c>
    </row>
    <row r="113" spans="1:5" ht="15">
      <c r="A113" s="402">
        <v>144010</v>
      </c>
      <c r="B113" s="402">
        <v>8100</v>
      </c>
      <c r="C113" s="402" t="s">
        <v>725</v>
      </c>
      <c r="D113" s="400" t="s">
        <v>781</v>
      </c>
      <c r="E113" s="401">
        <v>0</v>
      </c>
    </row>
    <row r="114" spans="1:5" ht="15">
      <c r="A114" s="402">
        <v>144904</v>
      </c>
      <c r="B114" s="402">
        <v>8000</v>
      </c>
      <c r="C114" s="402" t="s">
        <v>721</v>
      </c>
      <c r="D114" s="400" t="s">
        <v>782</v>
      </c>
      <c r="E114" s="401">
        <v>-20079.5</v>
      </c>
    </row>
    <row r="115" spans="1:5" ht="15">
      <c r="A115" s="402">
        <v>144904</v>
      </c>
      <c r="B115" s="402">
        <v>8100</v>
      </c>
      <c r="C115" s="402" t="s">
        <v>725</v>
      </c>
      <c r="D115" s="400" t="s">
        <v>782</v>
      </c>
      <c r="E115" s="401">
        <v>-270</v>
      </c>
    </row>
    <row r="116" spans="1:5" ht="15">
      <c r="A116" s="402">
        <v>144905</v>
      </c>
      <c r="B116" s="402">
        <v>8000</v>
      </c>
      <c r="C116" s="402" t="s">
        <v>721</v>
      </c>
      <c r="D116" s="400" t="s">
        <v>783</v>
      </c>
      <c r="E116" s="401">
        <v>-20079.5</v>
      </c>
    </row>
    <row r="117" spans="1:5" ht="15">
      <c r="A117" s="402">
        <v>144905</v>
      </c>
      <c r="B117" s="402">
        <v>8100</v>
      </c>
      <c r="C117" s="402" t="s">
        <v>725</v>
      </c>
      <c r="D117" s="400" t="s">
        <v>783</v>
      </c>
      <c r="E117" s="401">
        <v>-270</v>
      </c>
    </row>
    <row r="118" spans="1:5" ht="15">
      <c r="A118" s="402">
        <v>144906</v>
      </c>
      <c r="B118" s="402">
        <v>8000</v>
      </c>
      <c r="C118" s="402" t="s">
        <v>721</v>
      </c>
      <c r="D118" s="400" t="s">
        <v>784</v>
      </c>
      <c r="E118" s="401">
        <v>-27216.92</v>
      </c>
    </row>
    <row r="119" spans="1:5" ht="15">
      <c r="A119" s="402">
        <v>145010</v>
      </c>
      <c r="B119" s="402">
        <v>8000</v>
      </c>
      <c r="C119" s="402" t="s">
        <v>721</v>
      </c>
      <c r="D119" s="400" t="s">
        <v>785</v>
      </c>
      <c r="E119" s="401">
        <v>0</v>
      </c>
    </row>
    <row r="120" spans="1:5" ht="15">
      <c r="A120" s="402">
        <v>145010</v>
      </c>
      <c r="B120" s="402">
        <v>8100</v>
      </c>
      <c r="C120" s="402" t="s">
        <v>725</v>
      </c>
      <c r="D120" s="400" t="s">
        <v>785</v>
      </c>
      <c r="E120" s="401">
        <v>0</v>
      </c>
    </row>
    <row r="121" spans="1:5" ht="15">
      <c r="A121" s="402">
        <v>145016</v>
      </c>
      <c r="B121" s="402">
        <v>8000</v>
      </c>
      <c r="C121" s="402" t="s">
        <v>721</v>
      </c>
      <c r="D121" s="400" t="s">
        <v>786</v>
      </c>
      <c r="E121" s="401">
        <v>0</v>
      </c>
    </row>
    <row r="122" spans="1:5" ht="15">
      <c r="A122" s="402">
        <v>145016</v>
      </c>
      <c r="B122" s="402">
        <v>8100</v>
      </c>
      <c r="C122" s="402" t="s">
        <v>725</v>
      </c>
      <c r="D122" s="400" t="s">
        <v>786</v>
      </c>
      <c r="E122" s="401">
        <v>-2957.81</v>
      </c>
    </row>
    <row r="123" spans="1:5" ht="15">
      <c r="A123" s="402">
        <v>145017</v>
      </c>
      <c r="B123" s="402">
        <v>8000</v>
      </c>
      <c r="C123" s="402" t="s">
        <v>721</v>
      </c>
      <c r="D123" s="400" t="s">
        <v>787</v>
      </c>
      <c r="E123" s="401">
        <v>0</v>
      </c>
    </row>
    <row r="124" spans="1:5" ht="15">
      <c r="A124" s="402">
        <v>145017</v>
      </c>
      <c r="B124" s="402">
        <v>8100</v>
      </c>
      <c r="C124" s="402" t="s">
        <v>725</v>
      </c>
      <c r="D124" s="400" t="s">
        <v>787</v>
      </c>
      <c r="E124" s="401">
        <v>-2957.81</v>
      </c>
    </row>
    <row r="125" spans="1:5" ht="15">
      <c r="A125" s="402">
        <v>145018</v>
      </c>
      <c r="B125" s="402">
        <v>8000</v>
      </c>
      <c r="C125" s="402" t="s">
        <v>721</v>
      </c>
      <c r="D125" s="400" t="s">
        <v>788</v>
      </c>
      <c r="E125" s="401">
        <v>0</v>
      </c>
    </row>
    <row r="126" spans="1:5" ht="15">
      <c r="A126" s="402">
        <v>146010</v>
      </c>
      <c r="B126" s="402">
        <v>8000</v>
      </c>
      <c r="C126" s="402" t="s">
        <v>721</v>
      </c>
      <c r="D126" s="400" t="s">
        <v>789</v>
      </c>
      <c r="E126" s="401">
        <v>-8692.83</v>
      </c>
    </row>
    <row r="127" spans="1:5" ht="15">
      <c r="A127" s="402">
        <v>146010</v>
      </c>
      <c r="B127" s="402">
        <v>8100</v>
      </c>
      <c r="C127" s="402" t="s">
        <v>725</v>
      </c>
      <c r="D127" s="400" t="s">
        <v>789</v>
      </c>
      <c r="E127" s="401">
        <v>-617.16999999999996</v>
      </c>
    </row>
    <row r="128" spans="1:5" ht="15">
      <c r="A128" s="402">
        <v>146020</v>
      </c>
      <c r="B128" s="402">
        <v>8000</v>
      </c>
      <c r="C128" s="402" t="s">
        <v>721</v>
      </c>
      <c r="D128" s="400" t="s">
        <v>790</v>
      </c>
      <c r="E128" s="401">
        <v>0</v>
      </c>
    </row>
    <row r="129" spans="1:5" ht="15">
      <c r="A129" s="402">
        <v>150010</v>
      </c>
      <c r="B129" s="402">
        <v>8000</v>
      </c>
      <c r="C129" s="402" t="s">
        <v>721</v>
      </c>
      <c r="D129" s="400" t="s">
        <v>791</v>
      </c>
      <c r="E129" s="401">
        <v>0</v>
      </c>
    </row>
    <row r="130" spans="1:5" ht="15">
      <c r="A130" s="402">
        <v>150011</v>
      </c>
      <c r="B130" s="402">
        <v>8000</v>
      </c>
      <c r="C130" s="402" t="s">
        <v>721</v>
      </c>
      <c r="D130" s="400" t="s">
        <v>792</v>
      </c>
      <c r="E130" s="401">
        <v>145179</v>
      </c>
    </row>
    <row r="131" spans="1:5" ht="15">
      <c r="A131" s="402">
        <v>150011</v>
      </c>
      <c r="B131" s="402">
        <v>8100</v>
      </c>
      <c r="C131" s="402" t="s">
        <v>725</v>
      </c>
      <c r="D131" s="400" t="s">
        <v>792</v>
      </c>
      <c r="E131" s="401">
        <v>0</v>
      </c>
    </row>
    <row r="132" spans="1:5" ht="15">
      <c r="A132" s="402">
        <v>150030</v>
      </c>
      <c r="B132" s="402">
        <v>8000</v>
      </c>
      <c r="C132" s="402" t="s">
        <v>721</v>
      </c>
      <c r="D132" s="400" t="s">
        <v>793</v>
      </c>
      <c r="E132" s="401">
        <v>-33585770</v>
      </c>
    </row>
    <row r="133" spans="1:5" ht="15">
      <c r="A133" s="402">
        <v>150030</v>
      </c>
      <c r="B133" s="402">
        <v>8100</v>
      </c>
      <c r="C133" s="402" t="s">
        <v>725</v>
      </c>
      <c r="D133" s="400" t="s">
        <v>793</v>
      </c>
      <c r="E133" s="401">
        <v>-2189338</v>
      </c>
    </row>
    <row r="134" spans="1:5" ht="15">
      <c r="A134" s="402">
        <v>150040</v>
      </c>
      <c r="B134" s="402">
        <v>8000</v>
      </c>
      <c r="C134" s="402" t="s">
        <v>721</v>
      </c>
      <c r="D134" s="400" t="s">
        <v>794</v>
      </c>
      <c r="E134" s="401">
        <v>-2221059</v>
      </c>
    </row>
    <row r="135" spans="1:5" ht="15">
      <c r="A135" s="402">
        <v>150040</v>
      </c>
      <c r="B135" s="402">
        <v>8100</v>
      </c>
      <c r="C135" s="402" t="s">
        <v>725</v>
      </c>
      <c r="D135" s="400" t="s">
        <v>794</v>
      </c>
      <c r="E135" s="401">
        <v>0</v>
      </c>
    </row>
    <row r="136" spans="1:5" ht="15">
      <c r="A136" s="402">
        <v>150080</v>
      </c>
      <c r="B136" s="402">
        <v>8000</v>
      </c>
      <c r="C136" s="402" t="s">
        <v>721</v>
      </c>
      <c r="D136" s="400" t="s">
        <v>795</v>
      </c>
      <c r="E136" s="401">
        <v>0</v>
      </c>
    </row>
    <row r="137" spans="1:5" ht="15">
      <c r="A137" s="402">
        <v>150080</v>
      </c>
      <c r="B137" s="402">
        <v>8100</v>
      </c>
      <c r="C137" s="402" t="s">
        <v>725</v>
      </c>
      <c r="D137" s="400" t="s">
        <v>795</v>
      </c>
      <c r="E137" s="401">
        <v>0</v>
      </c>
    </row>
    <row r="138" spans="1:5" ht="15">
      <c r="A138" s="402">
        <v>160010</v>
      </c>
      <c r="B138" s="402">
        <v>8100</v>
      </c>
      <c r="C138" s="402" t="s">
        <v>725</v>
      </c>
      <c r="D138" s="400" t="s">
        <v>796</v>
      </c>
      <c r="E138" s="401">
        <v>0</v>
      </c>
    </row>
    <row r="139" spans="1:5" ht="15">
      <c r="A139" s="402">
        <v>160020</v>
      </c>
      <c r="B139" s="402">
        <v>8000</v>
      </c>
      <c r="C139" s="402" t="s">
        <v>721</v>
      </c>
      <c r="D139" s="400" t="s">
        <v>797</v>
      </c>
      <c r="E139" s="401">
        <v>0</v>
      </c>
    </row>
    <row r="140" spans="1:5" ht="15">
      <c r="A140" s="402">
        <v>160030</v>
      </c>
      <c r="B140" s="402">
        <v>8000</v>
      </c>
      <c r="C140" s="402" t="s">
        <v>721</v>
      </c>
      <c r="D140" s="400" t="s">
        <v>798</v>
      </c>
      <c r="E140" s="401">
        <v>0</v>
      </c>
    </row>
    <row r="141" spans="1:5" ht="15">
      <c r="A141" s="402">
        <v>160030</v>
      </c>
      <c r="B141" s="402">
        <v>8100</v>
      </c>
      <c r="C141" s="402" t="s">
        <v>725</v>
      </c>
      <c r="D141" s="400" t="s">
        <v>798</v>
      </c>
      <c r="E141" s="401">
        <v>0</v>
      </c>
    </row>
    <row r="142" spans="1:5" ht="15">
      <c r="A142" s="402">
        <v>165010</v>
      </c>
      <c r="B142" s="402">
        <v>8000</v>
      </c>
      <c r="C142" s="402" t="s">
        <v>721</v>
      </c>
      <c r="D142" s="400" t="s">
        <v>799</v>
      </c>
      <c r="E142" s="401">
        <v>0</v>
      </c>
    </row>
    <row r="143" spans="1:5" ht="15">
      <c r="A143" s="402">
        <v>165010</v>
      </c>
      <c r="B143" s="402">
        <v>8100</v>
      </c>
      <c r="C143" s="402" t="s">
        <v>725</v>
      </c>
      <c r="D143" s="400" t="s">
        <v>799</v>
      </c>
      <c r="E143" s="401">
        <v>0</v>
      </c>
    </row>
    <row r="144" spans="1:5" ht="15">
      <c r="A144" s="402">
        <v>170010</v>
      </c>
      <c r="B144" s="402">
        <v>8000</v>
      </c>
      <c r="C144" s="402" t="s">
        <v>721</v>
      </c>
      <c r="D144" s="400" t="s">
        <v>800</v>
      </c>
      <c r="E144" s="401">
        <v>-709391554.42999995</v>
      </c>
    </row>
    <row r="145" spans="1:5" ht="15">
      <c r="A145" s="402">
        <v>170020</v>
      </c>
      <c r="B145" s="402">
        <v>8000</v>
      </c>
      <c r="C145" s="402" t="s">
        <v>721</v>
      </c>
      <c r="D145" s="400" t="s">
        <v>801</v>
      </c>
      <c r="E145" s="401">
        <v>-71146513.140000001</v>
      </c>
    </row>
    <row r="146" spans="1:5" ht="15">
      <c r="A146" s="402">
        <v>170030</v>
      </c>
      <c r="B146" s="402">
        <v>8000</v>
      </c>
      <c r="C146" s="402" t="s">
        <v>721</v>
      </c>
      <c r="D146" s="400" t="s">
        <v>802</v>
      </c>
      <c r="E146" s="401">
        <v>-314882.3</v>
      </c>
    </row>
    <row r="147" spans="1:5" ht="15">
      <c r="A147" s="402">
        <v>170040</v>
      </c>
      <c r="B147" s="402">
        <v>8000</v>
      </c>
      <c r="C147" s="402" t="s">
        <v>721</v>
      </c>
      <c r="D147" s="400" t="s">
        <v>803</v>
      </c>
      <c r="E147" s="401">
        <v>-336494.68</v>
      </c>
    </row>
    <row r="148" spans="1:5" ht="15">
      <c r="A148" s="402">
        <v>170050</v>
      </c>
      <c r="B148" s="402">
        <v>8000</v>
      </c>
      <c r="C148" s="402" t="s">
        <v>721</v>
      </c>
      <c r="D148" s="400" t="s">
        <v>804</v>
      </c>
      <c r="E148" s="401">
        <v>-74093264.180000007</v>
      </c>
    </row>
    <row r="149" spans="1:5" ht="15">
      <c r="A149" s="402">
        <v>170070</v>
      </c>
      <c r="B149" s="402">
        <v>8000</v>
      </c>
      <c r="C149" s="402" t="s">
        <v>721</v>
      </c>
      <c r="D149" s="400" t="s">
        <v>805</v>
      </c>
      <c r="E149" s="401">
        <v>0</v>
      </c>
    </row>
    <row r="150" spans="1:5" ht="15">
      <c r="A150" s="402">
        <v>200010</v>
      </c>
      <c r="B150" s="402">
        <v>8100</v>
      </c>
      <c r="C150" s="402" t="s">
        <v>725</v>
      </c>
      <c r="D150" s="400" t="s">
        <v>806</v>
      </c>
      <c r="E150" s="401">
        <v>0</v>
      </c>
    </row>
    <row r="151" spans="1:5" ht="15">
      <c r="A151" s="402">
        <v>200090</v>
      </c>
      <c r="B151" s="402">
        <v>8000</v>
      </c>
      <c r="C151" s="402" t="s">
        <v>721</v>
      </c>
      <c r="D151" s="400" t="s">
        <v>807</v>
      </c>
      <c r="E151" s="401">
        <v>0</v>
      </c>
    </row>
    <row r="152" spans="1:5" ht="15">
      <c r="A152" s="402">
        <v>200100</v>
      </c>
      <c r="B152" s="402">
        <v>8000</v>
      </c>
      <c r="C152" s="402" t="s">
        <v>721</v>
      </c>
      <c r="D152" s="400" t="s">
        <v>808</v>
      </c>
      <c r="E152" s="401">
        <v>0</v>
      </c>
    </row>
    <row r="153" spans="1:5" ht="15">
      <c r="A153" s="402">
        <v>200180</v>
      </c>
      <c r="B153" s="402">
        <v>8000</v>
      </c>
      <c r="C153" s="402" t="s">
        <v>721</v>
      </c>
      <c r="D153" s="400" t="s">
        <v>809</v>
      </c>
      <c r="E153" s="401">
        <v>961130</v>
      </c>
    </row>
    <row r="154" spans="1:5" ht="15">
      <c r="A154" s="402">
        <v>201010</v>
      </c>
      <c r="B154" s="402">
        <v>8000</v>
      </c>
      <c r="C154" s="402" t="s">
        <v>721</v>
      </c>
      <c r="D154" s="400" t="s">
        <v>810</v>
      </c>
      <c r="E154" s="401">
        <v>12739447.43</v>
      </c>
    </row>
    <row r="155" spans="1:5" ht="15">
      <c r="A155" s="402">
        <v>201010</v>
      </c>
      <c r="B155" s="402">
        <v>8100</v>
      </c>
      <c r="C155" s="402" t="s">
        <v>725</v>
      </c>
      <c r="D155" s="400" t="s">
        <v>810</v>
      </c>
      <c r="E155" s="401">
        <v>0</v>
      </c>
    </row>
    <row r="156" spans="1:5" ht="15">
      <c r="A156" s="402">
        <v>202020</v>
      </c>
      <c r="B156" s="402">
        <v>8000</v>
      </c>
      <c r="C156" s="402" t="s">
        <v>721</v>
      </c>
      <c r="D156" s="400" t="s">
        <v>811</v>
      </c>
      <c r="E156" s="401">
        <v>214655335.74000001</v>
      </c>
    </row>
    <row r="157" spans="1:5" ht="15">
      <c r="A157" s="402">
        <v>202020</v>
      </c>
      <c r="B157" s="402">
        <v>8100</v>
      </c>
      <c r="C157" s="402" t="s">
        <v>725</v>
      </c>
      <c r="D157" s="400" t="s">
        <v>811</v>
      </c>
      <c r="E157" s="401">
        <v>42145700.719999999</v>
      </c>
    </row>
    <row r="158" spans="1:5" ht="15">
      <c r="A158" s="402">
        <v>202040</v>
      </c>
      <c r="B158" s="402">
        <v>8000</v>
      </c>
      <c r="C158" s="402" t="s">
        <v>721</v>
      </c>
      <c r="D158" s="400" t="s">
        <v>812</v>
      </c>
      <c r="E158" s="401">
        <v>8095392.6799999997</v>
      </c>
    </row>
    <row r="159" spans="1:5" ht="15">
      <c r="A159" s="402">
        <v>202050</v>
      </c>
      <c r="B159" s="402">
        <v>8000</v>
      </c>
      <c r="C159" s="402" t="s">
        <v>721</v>
      </c>
      <c r="D159" s="400" t="s">
        <v>813</v>
      </c>
      <c r="E159" s="401">
        <v>22362.47</v>
      </c>
    </row>
    <row r="160" spans="1:5" ht="15">
      <c r="A160" s="402">
        <v>202050</v>
      </c>
      <c r="B160" s="402">
        <v>8100</v>
      </c>
      <c r="C160" s="402" t="s">
        <v>725</v>
      </c>
      <c r="D160" s="400" t="s">
        <v>813</v>
      </c>
      <c r="E160" s="401">
        <v>115165</v>
      </c>
    </row>
    <row r="161" spans="1:5" ht="15">
      <c r="A161" s="402">
        <v>202070</v>
      </c>
      <c r="B161" s="402">
        <v>8000</v>
      </c>
      <c r="C161" s="402" t="s">
        <v>721</v>
      </c>
      <c r="D161" s="400" t="s">
        <v>814</v>
      </c>
      <c r="E161" s="401">
        <v>443511.58</v>
      </c>
    </row>
    <row r="162" spans="1:5" ht="15">
      <c r="A162" s="402">
        <v>202070</v>
      </c>
      <c r="B162" s="402">
        <v>8100</v>
      </c>
      <c r="C162" s="402" t="s">
        <v>725</v>
      </c>
      <c r="D162" s="400" t="s">
        <v>814</v>
      </c>
      <c r="E162" s="401">
        <v>0</v>
      </c>
    </row>
    <row r="163" spans="1:5" ht="15">
      <c r="A163" s="402">
        <v>203020</v>
      </c>
      <c r="B163" s="402">
        <v>8000</v>
      </c>
      <c r="C163" s="402" t="s">
        <v>721</v>
      </c>
      <c r="D163" s="400" t="s">
        <v>815</v>
      </c>
      <c r="E163" s="401">
        <v>169462.35</v>
      </c>
    </row>
    <row r="164" spans="1:5" ht="15">
      <c r="A164" s="402">
        <v>203040</v>
      </c>
      <c r="B164" s="402">
        <v>8100</v>
      </c>
      <c r="C164" s="402" t="s">
        <v>725</v>
      </c>
      <c r="D164" s="400" t="s">
        <v>816</v>
      </c>
      <c r="E164" s="401">
        <v>358976.85</v>
      </c>
    </row>
    <row r="165" spans="1:5" ht="15">
      <c r="A165" s="402">
        <v>204010</v>
      </c>
      <c r="B165" s="402">
        <v>8100</v>
      </c>
      <c r="C165" s="402" t="s">
        <v>725</v>
      </c>
      <c r="D165" s="400" t="s">
        <v>817</v>
      </c>
      <c r="E165" s="401">
        <v>381634.92</v>
      </c>
    </row>
    <row r="166" spans="1:5" ht="15">
      <c r="A166" s="402">
        <v>204020</v>
      </c>
      <c r="B166" s="402">
        <v>8100</v>
      </c>
      <c r="C166" s="402" t="s">
        <v>725</v>
      </c>
      <c r="D166" s="400" t="s">
        <v>818</v>
      </c>
      <c r="E166" s="401">
        <v>60840.33</v>
      </c>
    </row>
    <row r="167" spans="1:5" ht="15">
      <c r="A167" s="402">
        <v>204040</v>
      </c>
      <c r="B167" s="402">
        <v>8000</v>
      </c>
      <c r="C167" s="402" t="s">
        <v>721</v>
      </c>
      <c r="D167" s="400" t="s">
        <v>819</v>
      </c>
      <c r="E167" s="401">
        <v>771130.72</v>
      </c>
    </row>
    <row r="168" spans="1:5" ht="15">
      <c r="A168" s="402">
        <v>204040</v>
      </c>
      <c r="B168" s="402">
        <v>8100</v>
      </c>
      <c r="C168" s="402" t="s">
        <v>725</v>
      </c>
      <c r="D168" s="400" t="s">
        <v>819</v>
      </c>
      <c r="E168" s="401">
        <v>2363092.7400000002</v>
      </c>
    </row>
    <row r="169" spans="1:5" ht="15">
      <c r="A169" s="402">
        <v>205010</v>
      </c>
      <c r="B169" s="402">
        <v>8000</v>
      </c>
      <c r="C169" s="402" t="s">
        <v>721</v>
      </c>
      <c r="D169" s="400" t="s">
        <v>820</v>
      </c>
      <c r="E169" s="401">
        <v>14921607.41</v>
      </c>
    </row>
    <row r="170" spans="1:5" ht="15">
      <c r="A170" s="402">
        <v>205010</v>
      </c>
      <c r="B170" s="402">
        <v>8100</v>
      </c>
      <c r="C170" s="402" t="s">
        <v>725</v>
      </c>
      <c r="D170" s="400" t="s">
        <v>820</v>
      </c>
      <c r="E170" s="401">
        <v>0</v>
      </c>
    </row>
    <row r="171" spans="1:5" ht="15">
      <c r="A171" s="402">
        <v>205060</v>
      </c>
      <c r="B171" s="402">
        <v>8000</v>
      </c>
      <c r="C171" s="402" t="s">
        <v>721</v>
      </c>
      <c r="D171" s="400" t="s">
        <v>821</v>
      </c>
      <c r="E171" s="401">
        <v>0</v>
      </c>
    </row>
    <row r="172" spans="1:5" ht="15">
      <c r="A172" s="402">
        <v>205060</v>
      </c>
      <c r="B172" s="402">
        <v>8100</v>
      </c>
      <c r="C172" s="402" t="s">
        <v>725</v>
      </c>
      <c r="D172" s="400" t="s">
        <v>821</v>
      </c>
      <c r="E172" s="401">
        <v>7865982.1200000001</v>
      </c>
    </row>
    <row r="173" spans="1:5" ht="15">
      <c r="A173" s="402">
        <v>205070</v>
      </c>
      <c r="B173" s="402">
        <v>8000</v>
      </c>
      <c r="C173" s="402" t="s">
        <v>721</v>
      </c>
      <c r="D173" s="400" t="s">
        <v>822</v>
      </c>
      <c r="E173" s="401">
        <v>615193.11</v>
      </c>
    </row>
    <row r="174" spans="1:5" ht="15">
      <c r="A174" s="402">
        <v>206010</v>
      </c>
      <c r="B174" s="402">
        <v>8000</v>
      </c>
      <c r="C174" s="402" t="s">
        <v>721</v>
      </c>
      <c r="D174" s="400" t="s">
        <v>823</v>
      </c>
      <c r="E174" s="401">
        <v>128027.5</v>
      </c>
    </row>
    <row r="175" spans="1:5" ht="15">
      <c r="A175" s="402">
        <v>206050</v>
      </c>
      <c r="B175" s="402">
        <v>8000</v>
      </c>
      <c r="C175" s="402" t="s">
        <v>721</v>
      </c>
      <c r="D175" s="400" t="s">
        <v>824</v>
      </c>
      <c r="E175" s="401">
        <v>3745813.55</v>
      </c>
    </row>
    <row r="176" spans="1:5" ht="15">
      <c r="A176" s="402">
        <v>206050</v>
      </c>
      <c r="B176" s="402">
        <v>8100</v>
      </c>
      <c r="C176" s="402" t="s">
        <v>725</v>
      </c>
      <c r="D176" s="400" t="s">
        <v>824</v>
      </c>
      <c r="E176" s="401">
        <v>7167663</v>
      </c>
    </row>
    <row r="177" spans="1:5" ht="15">
      <c r="A177" s="402">
        <v>206060</v>
      </c>
      <c r="B177" s="402">
        <v>8100</v>
      </c>
      <c r="C177" s="402" t="s">
        <v>725</v>
      </c>
      <c r="D177" s="400" t="s">
        <v>825</v>
      </c>
      <c r="E177" s="401">
        <v>3314.8</v>
      </c>
    </row>
    <row r="178" spans="1:5" ht="15">
      <c r="A178" s="402">
        <v>206070</v>
      </c>
      <c r="B178" s="402">
        <v>8000</v>
      </c>
      <c r="C178" s="402" t="s">
        <v>721</v>
      </c>
      <c r="D178" s="400" t="s">
        <v>826</v>
      </c>
      <c r="E178" s="401">
        <v>609980954.48000002</v>
      </c>
    </row>
    <row r="179" spans="1:5" ht="15">
      <c r="A179" s="402">
        <v>206070</v>
      </c>
      <c r="B179" s="402">
        <v>8100</v>
      </c>
      <c r="C179" s="402" t="s">
        <v>725</v>
      </c>
      <c r="D179" s="400" t="s">
        <v>826</v>
      </c>
      <c r="E179" s="401">
        <v>63425668.950000003</v>
      </c>
    </row>
    <row r="180" spans="1:5" ht="15">
      <c r="A180" s="402">
        <v>206080</v>
      </c>
      <c r="B180" s="402">
        <v>8000</v>
      </c>
      <c r="C180" s="402" t="s">
        <v>721</v>
      </c>
      <c r="D180" s="400" t="s">
        <v>827</v>
      </c>
      <c r="E180" s="401">
        <v>2378096.6800000002</v>
      </c>
    </row>
    <row r="181" spans="1:5" ht="15">
      <c r="A181" s="402">
        <v>206080</v>
      </c>
      <c r="B181" s="402">
        <v>8100</v>
      </c>
      <c r="C181" s="402" t="s">
        <v>725</v>
      </c>
      <c r="D181" s="400" t="s">
        <v>827</v>
      </c>
      <c r="E181" s="401">
        <v>8978435.0700000003</v>
      </c>
    </row>
    <row r="182" spans="1:5" ht="15">
      <c r="A182" s="402">
        <v>206090</v>
      </c>
      <c r="B182" s="402">
        <v>8000</v>
      </c>
      <c r="C182" s="402" t="s">
        <v>721</v>
      </c>
      <c r="D182" s="400" t="s">
        <v>828</v>
      </c>
      <c r="E182" s="401">
        <v>1183217.48</v>
      </c>
    </row>
    <row r="183" spans="1:5" ht="15">
      <c r="A183" s="402">
        <v>206090</v>
      </c>
      <c r="B183" s="402">
        <v>8100</v>
      </c>
      <c r="C183" s="402" t="s">
        <v>725</v>
      </c>
      <c r="D183" s="400" t="s">
        <v>828</v>
      </c>
      <c r="E183" s="401">
        <v>6866519.8600000003</v>
      </c>
    </row>
    <row r="184" spans="1:5" ht="15">
      <c r="A184" s="402">
        <v>206100</v>
      </c>
      <c r="B184" s="402">
        <v>8000</v>
      </c>
      <c r="C184" s="402" t="s">
        <v>721</v>
      </c>
      <c r="D184" s="400" t="s">
        <v>829</v>
      </c>
      <c r="E184" s="401">
        <v>16454771.34</v>
      </c>
    </row>
    <row r="185" spans="1:5" ht="15">
      <c r="A185" s="402">
        <v>206100</v>
      </c>
      <c r="B185" s="402">
        <v>8100</v>
      </c>
      <c r="C185" s="402" t="s">
        <v>725</v>
      </c>
      <c r="D185" s="400" t="s">
        <v>829</v>
      </c>
      <c r="E185" s="401">
        <v>316018</v>
      </c>
    </row>
    <row r="186" spans="1:5" ht="15">
      <c r="A186" s="402">
        <v>206110</v>
      </c>
      <c r="B186" s="402">
        <v>8000</v>
      </c>
      <c r="C186" s="402" t="s">
        <v>721</v>
      </c>
      <c r="D186" s="400" t="s">
        <v>830</v>
      </c>
      <c r="E186" s="401">
        <v>654583.32999999996</v>
      </c>
    </row>
    <row r="187" spans="1:5" ht="15">
      <c r="A187" s="402">
        <v>206110</v>
      </c>
      <c r="B187" s="402">
        <v>8100</v>
      </c>
      <c r="C187" s="402" t="s">
        <v>725</v>
      </c>
      <c r="D187" s="400" t="s">
        <v>830</v>
      </c>
      <c r="E187" s="401">
        <v>51600</v>
      </c>
    </row>
    <row r="188" spans="1:5" ht="15">
      <c r="A188" s="402">
        <v>206120</v>
      </c>
      <c r="B188" s="402">
        <v>8000</v>
      </c>
      <c r="C188" s="402" t="s">
        <v>721</v>
      </c>
      <c r="D188" s="400" t="s">
        <v>831</v>
      </c>
      <c r="E188" s="401">
        <v>71789.279999999999</v>
      </c>
    </row>
    <row r="189" spans="1:5" ht="15">
      <c r="A189" s="402">
        <v>206120</v>
      </c>
      <c r="B189" s="402">
        <v>8100</v>
      </c>
      <c r="C189" s="402" t="s">
        <v>725</v>
      </c>
      <c r="D189" s="400" t="s">
        <v>831</v>
      </c>
      <c r="E189" s="401">
        <v>35482.01</v>
      </c>
    </row>
    <row r="190" spans="1:5" ht="15">
      <c r="A190" s="402">
        <v>206130</v>
      </c>
      <c r="B190" s="402">
        <v>8000</v>
      </c>
      <c r="C190" s="402" t="s">
        <v>721</v>
      </c>
      <c r="D190" s="400" t="s">
        <v>832</v>
      </c>
      <c r="E190" s="401">
        <v>37552.949999999997</v>
      </c>
    </row>
    <row r="191" spans="1:5" ht="15">
      <c r="A191" s="402">
        <v>206130</v>
      </c>
      <c r="B191" s="402">
        <v>8100</v>
      </c>
      <c r="C191" s="402" t="s">
        <v>725</v>
      </c>
      <c r="D191" s="400" t="s">
        <v>832</v>
      </c>
      <c r="E191" s="401">
        <v>3679614.9</v>
      </c>
    </row>
    <row r="192" spans="1:5" ht="15">
      <c r="A192" s="402">
        <v>206150</v>
      </c>
      <c r="B192" s="402">
        <v>8100</v>
      </c>
      <c r="C192" s="402" t="s">
        <v>725</v>
      </c>
      <c r="D192" s="400" t="s">
        <v>833</v>
      </c>
      <c r="E192" s="401">
        <v>627983.73</v>
      </c>
    </row>
    <row r="193" spans="1:5" ht="15">
      <c r="A193" s="402">
        <v>206200</v>
      </c>
      <c r="B193" s="402">
        <v>8000</v>
      </c>
      <c r="C193" s="402" t="s">
        <v>721</v>
      </c>
      <c r="D193" s="400" t="s">
        <v>834</v>
      </c>
      <c r="E193" s="401">
        <v>7113156.9500000002</v>
      </c>
    </row>
    <row r="194" spans="1:5" ht="15">
      <c r="A194" s="402">
        <v>206200</v>
      </c>
      <c r="B194" s="402">
        <v>8100</v>
      </c>
      <c r="C194" s="402" t="s">
        <v>725</v>
      </c>
      <c r="D194" s="400" t="s">
        <v>834</v>
      </c>
      <c r="E194" s="401">
        <v>805595</v>
      </c>
    </row>
    <row r="195" spans="1:5" ht="15">
      <c r="A195" s="402">
        <v>208010</v>
      </c>
      <c r="B195" s="402">
        <v>8000</v>
      </c>
      <c r="C195" s="402" t="s">
        <v>721</v>
      </c>
      <c r="D195" s="400" t="s">
        <v>835</v>
      </c>
      <c r="E195" s="401">
        <v>15566.88</v>
      </c>
    </row>
    <row r="196" spans="1:5" ht="15">
      <c r="A196" s="402">
        <v>208010</v>
      </c>
      <c r="B196" s="402">
        <v>8100</v>
      </c>
      <c r="C196" s="402" t="s">
        <v>725</v>
      </c>
      <c r="D196" s="400" t="s">
        <v>835</v>
      </c>
      <c r="E196" s="401">
        <v>594018.05000000005</v>
      </c>
    </row>
    <row r="197" spans="1:5" ht="15">
      <c r="A197" s="402">
        <v>208050</v>
      </c>
      <c r="B197" s="402">
        <v>8000</v>
      </c>
      <c r="C197" s="402" t="s">
        <v>721</v>
      </c>
      <c r="D197" s="400" t="s">
        <v>836</v>
      </c>
      <c r="E197" s="401">
        <v>956506.22</v>
      </c>
    </row>
    <row r="198" spans="1:5" ht="15">
      <c r="A198" s="402">
        <v>208050</v>
      </c>
      <c r="B198" s="402">
        <v>8100</v>
      </c>
      <c r="C198" s="402" t="s">
        <v>725</v>
      </c>
      <c r="D198" s="400" t="s">
        <v>836</v>
      </c>
      <c r="E198" s="401">
        <v>123206.55</v>
      </c>
    </row>
    <row r="199" spans="1:5" ht="15">
      <c r="A199" s="402">
        <v>208060</v>
      </c>
      <c r="B199" s="402">
        <v>8000</v>
      </c>
      <c r="C199" s="402" t="s">
        <v>721</v>
      </c>
      <c r="D199" s="400" t="s">
        <v>837</v>
      </c>
      <c r="E199" s="401">
        <v>556150</v>
      </c>
    </row>
    <row r="200" spans="1:5" ht="15">
      <c r="A200" s="402">
        <v>209030</v>
      </c>
      <c r="B200" s="402">
        <v>8000</v>
      </c>
      <c r="C200" s="402" t="s">
        <v>721</v>
      </c>
      <c r="D200" s="400" t="s">
        <v>838</v>
      </c>
      <c r="E200" s="401">
        <v>3731610.6</v>
      </c>
    </row>
    <row r="201" spans="1:5" ht="15">
      <c r="A201" s="402">
        <v>209030</v>
      </c>
      <c r="B201" s="402">
        <v>8100</v>
      </c>
      <c r="C201" s="402" t="s">
        <v>725</v>
      </c>
      <c r="D201" s="400" t="s">
        <v>838</v>
      </c>
      <c r="E201" s="401">
        <v>0</v>
      </c>
    </row>
    <row r="202" spans="1:5" ht="15">
      <c r="A202" s="402">
        <v>209310</v>
      </c>
      <c r="B202" s="402">
        <v>8000</v>
      </c>
      <c r="C202" s="402" t="s">
        <v>721</v>
      </c>
      <c r="D202" s="400" t="s">
        <v>839</v>
      </c>
      <c r="E202" s="401">
        <v>2858566.16</v>
      </c>
    </row>
    <row r="203" spans="1:5" ht="15">
      <c r="A203" s="402">
        <v>209310</v>
      </c>
      <c r="B203" s="402">
        <v>8100</v>
      </c>
      <c r="C203" s="402" t="s">
        <v>725</v>
      </c>
      <c r="D203" s="400" t="s">
        <v>839</v>
      </c>
      <c r="E203" s="401">
        <v>2482975.56</v>
      </c>
    </row>
    <row r="204" spans="1:5" ht="15">
      <c r="A204" s="402">
        <v>209320</v>
      </c>
      <c r="B204" s="402">
        <v>8000</v>
      </c>
      <c r="C204" s="402" t="s">
        <v>721</v>
      </c>
      <c r="D204" s="400" t="s">
        <v>840</v>
      </c>
      <c r="E204" s="401">
        <v>18900430.190000001</v>
      </c>
    </row>
    <row r="205" spans="1:5" ht="15">
      <c r="A205" s="402">
        <v>209320</v>
      </c>
      <c r="B205" s="402">
        <v>8100</v>
      </c>
      <c r="C205" s="402" t="s">
        <v>725</v>
      </c>
      <c r="D205" s="400" t="s">
        <v>840</v>
      </c>
      <c r="E205" s="401">
        <v>2679588.66</v>
      </c>
    </row>
    <row r="206" spans="1:5" ht="15">
      <c r="A206" s="402">
        <v>209510</v>
      </c>
      <c r="B206" s="402">
        <v>8000</v>
      </c>
      <c r="C206" s="402" t="s">
        <v>721</v>
      </c>
      <c r="D206" s="400" t="s">
        <v>841</v>
      </c>
      <c r="E206" s="401">
        <v>28280606.219999999</v>
      </c>
    </row>
    <row r="207" spans="1:5" ht="15">
      <c r="A207" s="402">
        <v>209510</v>
      </c>
      <c r="B207" s="402">
        <v>8100</v>
      </c>
      <c r="C207" s="402" t="s">
        <v>725</v>
      </c>
      <c r="D207" s="400" t="s">
        <v>841</v>
      </c>
      <c r="E207" s="401">
        <v>0</v>
      </c>
    </row>
    <row r="208" spans="1:5" ht="15">
      <c r="A208" s="402">
        <v>209610</v>
      </c>
      <c r="B208" s="402">
        <v>8000</v>
      </c>
      <c r="C208" s="402" t="s">
        <v>721</v>
      </c>
      <c r="D208" s="400" t="s">
        <v>842</v>
      </c>
      <c r="E208" s="401">
        <v>27831375.149999999</v>
      </c>
    </row>
    <row r="209" spans="1:5" ht="15">
      <c r="A209" s="402">
        <v>209610</v>
      </c>
      <c r="B209" s="402">
        <v>8100</v>
      </c>
      <c r="C209" s="402" t="s">
        <v>725</v>
      </c>
      <c r="D209" s="400" t="s">
        <v>842</v>
      </c>
      <c r="E209" s="401">
        <v>1844976.29</v>
      </c>
    </row>
    <row r="210" spans="1:5" ht="15">
      <c r="A210" s="402">
        <v>209620</v>
      </c>
      <c r="B210" s="402">
        <v>8000</v>
      </c>
      <c r="C210" s="402" t="s">
        <v>721</v>
      </c>
      <c r="D210" s="400" t="s">
        <v>843</v>
      </c>
      <c r="E210" s="401">
        <v>58663</v>
      </c>
    </row>
    <row r="211" spans="1:5" ht="15">
      <c r="A211" s="402">
        <v>209620</v>
      </c>
      <c r="B211" s="402">
        <v>8100</v>
      </c>
      <c r="C211" s="402" t="s">
        <v>725</v>
      </c>
      <c r="D211" s="400" t="s">
        <v>843</v>
      </c>
      <c r="E211" s="401">
        <v>37733</v>
      </c>
    </row>
    <row r="212" spans="1:5" ht="15">
      <c r="A212" s="402">
        <v>209630</v>
      </c>
      <c r="B212" s="402">
        <v>8000</v>
      </c>
      <c r="C212" s="402" t="s">
        <v>721</v>
      </c>
      <c r="D212" s="400" t="s">
        <v>844</v>
      </c>
      <c r="E212" s="401">
        <v>609679.01</v>
      </c>
    </row>
    <row r="213" spans="1:5" ht="15">
      <c r="A213" s="402">
        <v>209640</v>
      </c>
      <c r="B213" s="402">
        <v>8000</v>
      </c>
      <c r="C213" s="402" t="s">
        <v>721</v>
      </c>
      <c r="D213" s="400" t="s">
        <v>845</v>
      </c>
      <c r="E213" s="401">
        <v>0</v>
      </c>
    </row>
    <row r="214" spans="1:5" ht="15">
      <c r="A214" s="402">
        <v>209650</v>
      </c>
      <c r="B214" s="402">
        <v>8000</v>
      </c>
      <c r="C214" s="402" t="s">
        <v>721</v>
      </c>
      <c r="D214" s="400" t="s">
        <v>846</v>
      </c>
      <c r="E214" s="401">
        <v>829959.99</v>
      </c>
    </row>
    <row r="215" spans="1:5" ht="15">
      <c r="A215" s="402">
        <v>209650</v>
      </c>
      <c r="B215" s="402">
        <v>8100</v>
      </c>
      <c r="C215" s="402" t="s">
        <v>725</v>
      </c>
      <c r="D215" s="400" t="s">
        <v>846</v>
      </c>
      <c r="E215" s="401">
        <v>788047.92</v>
      </c>
    </row>
    <row r="216" spans="1:5" ht="15">
      <c r="A216" s="402">
        <v>209660</v>
      </c>
      <c r="B216" s="402">
        <v>8000</v>
      </c>
      <c r="C216" s="402" t="s">
        <v>721</v>
      </c>
      <c r="D216" s="400" t="s">
        <v>847</v>
      </c>
      <c r="E216" s="401">
        <v>10350464.439999999</v>
      </c>
    </row>
    <row r="217" spans="1:5" ht="15">
      <c r="A217" s="402">
        <v>209660</v>
      </c>
      <c r="B217" s="402">
        <v>8100</v>
      </c>
      <c r="C217" s="402" t="s">
        <v>725</v>
      </c>
      <c r="D217" s="400" t="s">
        <v>847</v>
      </c>
      <c r="E217" s="401">
        <v>2154605.96</v>
      </c>
    </row>
    <row r="218" spans="1:5" ht="15">
      <c r="A218" s="402">
        <v>209670</v>
      </c>
      <c r="B218" s="402">
        <v>8000</v>
      </c>
      <c r="C218" s="402" t="s">
        <v>721</v>
      </c>
      <c r="D218" s="400" t="s">
        <v>848</v>
      </c>
      <c r="E218" s="401">
        <v>42467238</v>
      </c>
    </row>
    <row r="219" spans="1:5" ht="15">
      <c r="A219" s="402">
        <v>209680</v>
      </c>
      <c r="B219" s="402">
        <v>8000</v>
      </c>
      <c r="C219" s="402" t="s">
        <v>721</v>
      </c>
      <c r="D219" s="400" t="s">
        <v>849</v>
      </c>
      <c r="E219" s="401">
        <v>5125356</v>
      </c>
    </row>
    <row r="220" spans="1:5" ht="15">
      <c r="A220" s="402">
        <v>209690</v>
      </c>
      <c r="B220" s="402">
        <v>8000</v>
      </c>
      <c r="C220" s="402" t="s">
        <v>721</v>
      </c>
      <c r="D220" s="400" t="s">
        <v>850</v>
      </c>
      <c r="E220" s="401">
        <v>4474598</v>
      </c>
    </row>
    <row r="221" spans="1:5" ht="15">
      <c r="A221" s="402">
        <v>210100</v>
      </c>
      <c r="B221" s="402">
        <v>8000</v>
      </c>
      <c r="C221" s="402" t="s">
        <v>721</v>
      </c>
      <c r="D221" s="400" t="s">
        <v>851</v>
      </c>
      <c r="E221" s="401">
        <v>0</v>
      </c>
    </row>
    <row r="222" spans="1:5" ht="15">
      <c r="A222" s="402">
        <v>210180</v>
      </c>
      <c r="B222" s="402">
        <v>8000</v>
      </c>
      <c r="C222" s="402" t="s">
        <v>721</v>
      </c>
      <c r="D222" s="400" t="s">
        <v>852</v>
      </c>
      <c r="E222" s="401">
        <v>-961130</v>
      </c>
    </row>
    <row r="223" spans="1:5" ht="15">
      <c r="A223" s="402">
        <v>211010</v>
      </c>
      <c r="B223" s="402">
        <v>8000</v>
      </c>
      <c r="C223" s="402" t="s">
        <v>721</v>
      </c>
      <c r="D223" s="400" t="s">
        <v>853</v>
      </c>
      <c r="E223" s="401">
        <v>-11465502.689999999</v>
      </c>
    </row>
    <row r="224" spans="1:5" ht="15">
      <c r="A224" s="402">
        <v>211010</v>
      </c>
      <c r="B224" s="402">
        <v>8100</v>
      </c>
      <c r="C224" s="402" t="s">
        <v>725</v>
      </c>
      <c r="D224" s="400" t="s">
        <v>853</v>
      </c>
      <c r="E224" s="401">
        <v>0</v>
      </c>
    </row>
    <row r="225" spans="1:5" ht="15">
      <c r="A225" s="402">
        <v>212020</v>
      </c>
      <c r="B225" s="402">
        <v>8000</v>
      </c>
      <c r="C225" s="402" t="s">
        <v>721</v>
      </c>
      <c r="D225" s="400" t="s">
        <v>854</v>
      </c>
      <c r="E225" s="401">
        <v>-78331027.480000004</v>
      </c>
    </row>
    <row r="226" spans="1:5" ht="15">
      <c r="A226" s="402">
        <v>212020</v>
      </c>
      <c r="B226" s="402">
        <v>8100</v>
      </c>
      <c r="C226" s="402" t="s">
        <v>725</v>
      </c>
      <c r="D226" s="400" t="s">
        <v>854</v>
      </c>
      <c r="E226" s="401">
        <v>-17604119.210000001</v>
      </c>
    </row>
    <row r="227" spans="1:5" ht="15">
      <c r="A227" s="402">
        <v>212040</v>
      </c>
      <c r="B227" s="402">
        <v>8000</v>
      </c>
      <c r="C227" s="402" t="s">
        <v>721</v>
      </c>
      <c r="D227" s="400" t="s">
        <v>855</v>
      </c>
      <c r="E227" s="401">
        <v>-6312754.9299999997</v>
      </c>
    </row>
    <row r="228" spans="1:5" ht="15">
      <c r="A228" s="402">
        <v>212050</v>
      </c>
      <c r="B228" s="402">
        <v>8000</v>
      </c>
      <c r="C228" s="402" t="s">
        <v>721</v>
      </c>
      <c r="D228" s="400" t="s">
        <v>856</v>
      </c>
      <c r="E228" s="401">
        <v>-16137.97</v>
      </c>
    </row>
    <row r="229" spans="1:5" ht="15">
      <c r="A229" s="402">
        <v>212050</v>
      </c>
      <c r="B229" s="402">
        <v>8100</v>
      </c>
      <c r="C229" s="402" t="s">
        <v>725</v>
      </c>
      <c r="D229" s="400" t="s">
        <v>856</v>
      </c>
      <c r="E229" s="401">
        <v>-35757.08</v>
      </c>
    </row>
    <row r="230" spans="1:5" ht="15">
      <c r="A230" s="402">
        <v>212070</v>
      </c>
      <c r="B230" s="402">
        <v>8000</v>
      </c>
      <c r="C230" s="402" t="s">
        <v>721</v>
      </c>
      <c r="D230" s="400" t="s">
        <v>857</v>
      </c>
      <c r="E230" s="401">
        <v>-386067.65</v>
      </c>
    </row>
    <row r="231" spans="1:5" ht="15">
      <c r="A231" s="402">
        <v>212070</v>
      </c>
      <c r="B231" s="402">
        <v>8100</v>
      </c>
      <c r="C231" s="402" t="s">
        <v>725</v>
      </c>
      <c r="D231" s="400" t="s">
        <v>857</v>
      </c>
      <c r="E231" s="401">
        <v>0</v>
      </c>
    </row>
    <row r="232" spans="1:5" ht="15">
      <c r="A232" s="402">
        <v>213020</v>
      </c>
      <c r="B232" s="402">
        <v>8000</v>
      </c>
      <c r="C232" s="402" t="s">
        <v>721</v>
      </c>
      <c r="D232" s="400" t="s">
        <v>858</v>
      </c>
      <c r="E232" s="401">
        <v>-152076.76999999999</v>
      </c>
    </row>
    <row r="233" spans="1:5" ht="15">
      <c r="A233" s="402">
        <v>213040</v>
      </c>
      <c r="B233" s="402">
        <v>8100</v>
      </c>
      <c r="C233" s="402" t="s">
        <v>725</v>
      </c>
      <c r="D233" s="400" t="s">
        <v>859</v>
      </c>
      <c r="E233" s="401">
        <v>-323079.15999999997</v>
      </c>
    </row>
    <row r="234" spans="1:5" ht="15">
      <c r="A234" s="402">
        <v>214010</v>
      </c>
      <c r="B234" s="402">
        <v>8100</v>
      </c>
      <c r="C234" s="402" t="s">
        <v>725</v>
      </c>
      <c r="D234" s="400" t="s">
        <v>860</v>
      </c>
      <c r="E234" s="401">
        <v>-295354.3</v>
      </c>
    </row>
    <row r="235" spans="1:5" ht="15">
      <c r="A235" s="402">
        <v>214020</v>
      </c>
      <c r="B235" s="402">
        <v>8100</v>
      </c>
      <c r="C235" s="402" t="s">
        <v>725</v>
      </c>
      <c r="D235" s="400" t="s">
        <v>861</v>
      </c>
      <c r="E235" s="401">
        <v>-54756.3</v>
      </c>
    </row>
    <row r="236" spans="1:5" ht="15">
      <c r="A236" s="402">
        <v>214040</v>
      </c>
      <c r="B236" s="402">
        <v>8000</v>
      </c>
      <c r="C236" s="402" t="s">
        <v>721</v>
      </c>
      <c r="D236" s="400" t="s">
        <v>862</v>
      </c>
      <c r="E236" s="401">
        <v>-387863.83</v>
      </c>
    </row>
    <row r="237" spans="1:5" ht="15">
      <c r="A237" s="402">
        <v>214040</v>
      </c>
      <c r="B237" s="402">
        <v>8100</v>
      </c>
      <c r="C237" s="402" t="s">
        <v>725</v>
      </c>
      <c r="D237" s="400" t="s">
        <v>862</v>
      </c>
      <c r="E237" s="401">
        <v>-1906337.46</v>
      </c>
    </row>
    <row r="238" spans="1:5" ht="15">
      <c r="A238" s="402">
        <v>215010</v>
      </c>
      <c r="B238" s="402">
        <v>8000</v>
      </c>
      <c r="C238" s="402" t="s">
        <v>721</v>
      </c>
      <c r="D238" s="400" t="s">
        <v>863</v>
      </c>
      <c r="E238" s="401">
        <v>-6348101.7999999998</v>
      </c>
    </row>
    <row r="239" spans="1:5" ht="15">
      <c r="A239" s="402">
        <v>215010</v>
      </c>
      <c r="B239" s="402">
        <v>8100</v>
      </c>
      <c r="C239" s="402" t="s">
        <v>725</v>
      </c>
      <c r="D239" s="400" t="s">
        <v>863</v>
      </c>
      <c r="E239" s="401">
        <v>0</v>
      </c>
    </row>
    <row r="240" spans="1:5" ht="15">
      <c r="A240" s="402">
        <v>215060</v>
      </c>
      <c r="B240" s="402">
        <v>8000</v>
      </c>
      <c r="C240" s="402" t="s">
        <v>721</v>
      </c>
      <c r="D240" s="400" t="s">
        <v>864</v>
      </c>
      <c r="E240" s="401">
        <v>0</v>
      </c>
    </row>
    <row r="241" spans="1:5" ht="15">
      <c r="A241" s="402">
        <v>215060</v>
      </c>
      <c r="B241" s="402">
        <v>8100</v>
      </c>
      <c r="C241" s="402" t="s">
        <v>725</v>
      </c>
      <c r="D241" s="400" t="s">
        <v>864</v>
      </c>
      <c r="E241" s="401">
        <v>-4441499.88</v>
      </c>
    </row>
    <row r="242" spans="1:5" ht="15">
      <c r="A242" s="402">
        <v>215070</v>
      </c>
      <c r="B242" s="402">
        <v>8000</v>
      </c>
      <c r="C242" s="402" t="s">
        <v>721</v>
      </c>
      <c r="D242" s="400" t="s">
        <v>865</v>
      </c>
      <c r="E242" s="401">
        <v>-553673.80000000005</v>
      </c>
    </row>
    <row r="243" spans="1:5" ht="15">
      <c r="A243" s="402">
        <v>216010</v>
      </c>
      <c r="B243" s="402">
        <v>8000</v>
      </c>
      <c r="C243" s="402" t="s">
        <v>721</v>
      </c>
      <c r="D243" s="400" t="s">
        <v>866</v>
      </c>
      <c r="E243" s="401">
        <v>-83363.86</v>
      </c>
    </row>
    <row r="244" spans="1:5" ht="15">
      <c r="A244" s="402">
        <v>216050</v>
      </c>
      <c r="B244" s="402">
        <v>8000</v>
      </c>
      <c r="C244" s="402" t="s">
        <v>721</v>
      </c>
      <c r="D244" s="400" t="s">
        <v>867</v>
      </c>
      <c r="E244" s="401">
        <v>-2400025.67</v>
      </c>
    </row>
    <row r="245" spans="1:5" ht="15">
      <c r="A245" s="402">
        <v>216050</v>
      </c>
      <c r="B245" s="402">
        <v>8100</v>
      </c>
      <c r="C245" s="402" t="s">
        <v>725</v>
      </c>
      <c r="D245" s="400" t="s">
        <v>867</v>
      </c>
      <c r="E245" s="401">
        <v>-4469787.62</v>
      </c>
    </row>
    <row r="246" spans="1:5" ht="15">
      <c r="A246" s="402">
        <v>216060</v>
      </c>
      <c r="B246" s="402">
        <v>8100</v>
      </c>
      <c r="C246" s="402" t="s">
        <v>725</v>
      </c>
      <c r="D246" s="400" t="s">
        <v>868</v>
      </c>
      <c r="E246" s="401">
        <v>-2983.32</v>
      </c>
    </row>
    <row r="247" spans="1:5" ht="15">
      <c r="A247" s="402">
        <v>216070</v>
      </c>
      <c r="B247" s="402">
        <v>8000</v>
      </c>
      <c r="C247" s="402" t="s">
        <v>721</v>
      </c>
      <c r="D247" s="400" t="s">
        <v>869</v>
      </c>
      <c r="E247" s="401">
        <v>-531362326.75999999</v>
      </c>
    </row>
    <row r="248" spans="1:5" ht="15">
      <c r="A248" s="402">
        <v>216070</v>
      </c>
      <c r="B248" s="402">
        <v>8100</v>
      </c>
      <c r="C248" s="402" t="s">
        <v>725</v>
      </c>
      <c r="D248" s="400" t="s">
        <v>869</v>
      </c>
      <c r="E248" s="401">
        <v>-56191335.969999999</v>
      </c>
    </row>
    <row r="249" spans="1:5" ht="15">
      <c r="A249" s="402">
        <v>216080</v>
      </c>
      <c r="B249" s="402">
        <v>8000</v>
      </c>
      <c r="C249" s="402" t="s">
        <v>721</v>
      </c>
      <c r="D249" s="400" t="s">
        <v>870</v>
      </c>
      <c r="E249" s="401">
        <v>-1981196.01</v>
      </c>
    </row>
    <row r="250" spans="1:5" ht="15">
      <c r="A250" s="402">
        <v>216080</v>
      </c>
      <c r="B250" s="402">
        <v>8100</v>
      </c>
      <c r="C250" s="402" t="s">
        <v>725</v>
      </c>
      <c r="D250" s="400" t="s">
        <v>870</v>
      </c>
      <c r="E250" s="401">
        <v>-7804836.9800000004</v>
      </c>
    </row>
    <row r="251" spans="1:5" ht="15">
      <c r="A251" s="402">
        <v>216090</v>
      </c>
      <c r="B251" s="402">
        <v>8000</v>
      </c>
      <c r="C251" s="402" t="s">
        <v>721</v>
      </c>
      <c r="D251" s="400" t="s">
        <v>871</v>
      </c>
      <c r="E251" s="401">
        <v>-1064895.73</v>
      </c>
    </row>
    <row r="252" spans="1:5" ht="15">
      <c r="A252" s="402">
        <v>216090</v>
      </c>
      <c r="B252" s="402">
        <v>8100</v>
      </c>
      <c r="C252" s="402" t="s">
        <v>725</v>
      </c>
      <c r="D252" s="400" t="s">
        <v>871</v>
      </c>
      <c r="E252" s="401">
        <v>-17479.87</v>
      </c>
    </row>
    <row r="253" spans="1:5" ht="15">
      <c r="A253" s="402">
        <v>216100</v>
      </c>
      <c r="B253" s="402">
        <v>8000</v>
      </c>
      <c r="C253" s="402" t="s">
        <v>721</v>
      </c>
      <c r="D253" s="400" t="s">
        <v>872</v>
      </c>
      <c r="E253" s="401">
        <v>-10384088.67</v>
      </c>
    </row>
    <row r="254" spans="1:5" ht="15">
      <c r="A254" s="402">
        <v>216100</v>
      </c>
      <c r="B254" s="402">
        <v>8100</v>
      </c>
      <c r="C254" s="402" t="s">
        <v>725</v>
      </c>
      <c r="D254" s="400" t="s">
        <v>872</v>
      </c>
      <c r="E254" s="401">
        <v>-225451.27</v>
      </c>
    </row>
    <row r="255" spans="1:5" ht="15">
      <c r="A255" s="402">
        <v>216110</v>
      </c>
      <c r="B255" s="402">
        <v>8000</v>
      </c>
      <c r="C255" s="402" t="s">
        <v>721</v>
      </c>
      <c r="D255" s="400" t="s">
        <v>873</v>
      </c>
      <c r="E255" s="401">
        <v>-586614.62</v>
      </c>
    </row>
    <row r="256" spans="1:5" ht="15">
      <c r="A256" s="402">
        <v>216110</v>
      </c>
      <c r="B256" s="402">
        <v>8100</v>
      </c>
      <c r="C256" s="402" t="s">
        <v>725</v>
      </c>
      <c r="D256" s="400" t="s">
        <v>873</v>
      </c>
      <c r="E256" s="401">
        <v>-46440</v>
      </c>
    </row>
    <row r="257" spans="1:5" ht="15">
      <c r="A257" s="402">
        <v>216120</v>
      </c>
      <c r="B257" s="402">
        <v>8000</v>
      </c>
      <c r="C257" s="402" t="s">
        <v>721</v>
      </c>
      <c r="D257" s="400" t="s">
        <v>874</v>
      </c>
      <c r="E257" s="401">
        <v>-48902.15</v>
      </c>
    </row>
    <row r="258" spans="1:5" ht="15">
      <c r="A258" s="402">
        <v>216120</v>
      </c>
      <c r="B258" s="402">
        <v>8100</v>
      </c>
      <c r="C258" s="402" t="s">
        <v>725</v>
      </c>
      <c r="D258" s="400" t="s">
        <v>874</v>
      </c>
      <c r="E258" s="401">
        <v>-29651.11</v>
      </c>
    </row>
    <row r="259" spans="1:5" ht="15">
      <c r="A259" s="402">
        <v>216130</v>
      </c>
      <c r="B259" s="402">
        <v>8000</v>
      </c>
      <c r="C259" s="402" t="s">
        <v>721</v>
      </c>
      <c r="D259" s="400" t="s">
        <v>875</v>
      </c>
      <c r="E259" s="401">
        <v>-33797.65</v>
      </c>
    </row>
    <row r="260" spans="1:5" ht="15">
      <c r="A260" s="402">
        <v>216130</v>
      </c>
      <c r="B260" s="402">
        <v>8100</v>
      </c>
      <c r="C260" s="402" t="s">
        <v>725</v>
      </c>
      <c r="D260" s="400" t="s">
        <v>875</v>
      </c>
      <c r="E260" s="401">
        <v>-3311653.41</v>
      </c>
    </row>
    <row r="261" spans="1:5" ht="15">
      <c r="A261" s="402">
        <v>216150</v>
      </c>
      <c r="B261" s="402">
        <v>8100</v>
      </c>
      <c r="C261" s="402" t="s">
        <v>725</v>
      </c>
      <c r="D261" s="400" t="s">
        <v>876</v>
      </c>
      <c r="E261" s="401">
        <v>-393355.55</v>
      </c>
    </row>
    <row r="262" spans="1:5" ht="15">
      <c r="A262" s="402">
        <v>216200</v>
      </c>
      <c r="B262" s="402">
        <v>8000</v>
      </c>
      <c r="C262" s="402" t="s">
        <v>721</v>
      </c>
      <c r="D262" s="400" t="s">
        <v>877</v>
      </c>
      <c r="E262" s="401">
        <v>-6172383.0800000001</v>
      </c>
    </row>
    <row r="263" spans="1:5" ht="15">
      <c r="A263" s="402">
        <v>216200</v>
      </c>
      <c r="B263" s="402">
        <v>8100</v>
      </c>
      <c r="C263" s="402" t="s">
        <v>725</v>
      </c>
      <c r="D263" s="400" t="s">
        <v>877</v>
      </c>
      <c r="E263" s="401">
        <v>-680799.86</v>
      </c>
    </row>
    <row r="264" spans="1:5" ht="15">
      <c r="A264" s="402">
        <v>218010</v>
      </c>
      <c r="B264" s="402">
        <v>8000</v>
      </c>
      <c r="C264" s="402" t="s">
        <v>721</v>
      </c>
      <c r="D264" s="400" t="s">
        <v>878</v>
      </c>
      <c r="E264" s="401">
        <v>-14010.19</v>
      </c>
    </row>
    <row r="265" spans="1:5" ht="15">
      <c r="A265" s="402">
        <v>218010</v>
      </c>
      <c r="B265" s="402">
        <v>8100</v>
      </c>
      <c r="C265" s="402" t="s">
        <v>725</v>
      </c>
      <c r="D265" s="400" t="s">
        <v>878</v>
      </c>
      <c r="E265" s="401">
        <v>-534616.24</v>
      </c>
    </row>
    <row r="266" spans="1:5" ht="15">
      <c r="A266" s="402">
        <v>218050</v>
      </c>
      <c r="B266" s="402">
        <v>8000</v>
      </c>
      <c r="C266" s="402" t="s">
        <v>721</v>
      </c>
      <c r="D266" s="400" t="s">
        <v>879</v>
      </c>
      <c r="E266" s="401">
        <v>-539899.17000000004</v>
      </c>
    </row>
    <row r="267" spans="1:5" ht="15">
      <c r="A267" s="402">
        <v>218050</v>
      </c>
      <c r="B267" s="402">
        <v>8100</v>
      </c>
      <c r="C267" s="402" t="s">
        <v>725</v>
      </c>
      <c r="D267" s="400" t="s">
        <v>879</v>
      </c>
      <c r="E267" s="401">
        <v>-110886</v>
      </c>
    </row>
    <row r="268" spans="1:5" ht="15">
      <c r="A268" s="402">
        <v>218060</v>
      </c>
      <c r="B268" s="402">
        <v>8000</v>
      </c>
      <c r="C268" s="402" t="s">
        <v>721</v>
      </c>
      <c r="D268" s="400" t="s">
        <v>880</v>
      </c>
      <c r="E268" s="401">
        <v>-338652.21</v>
      </c>
    </row>
    <row r="269" spans="1:5" ht="15">
      <c r="A269" s="402">
        <v>219030</v>
      </c>
      <c r="B269" s="402">
        <v>8000</v>
      </c>
      <c r="C269" s="402" t="s">
        <v>721</v>
      </c>
      <c r="D269" s="400" t="s">
        <v>881</v>
      </c>
      <c r="E269" s="401">
        <v>-420649.65</v>
      </c>
    </row>
    <row r="270" spans="1:5" ht="15">
      <c r="A270" s="402">
        <v>219030</v>
      </c>
      <c r="B270" s="402">
        <v>8100</v>
      </c>
      <c r="C270" s="402" t="s">
        <v>725</v>
      </c>
      <c r="D270" s="400" t="s">
        <v>881</v>
      </c>
      <c r="E270" s="401">
        <v>0</v>
      </c>
    </row>
    <row r="271" spans="1:5" ht="15">
      <c r="A271" s="402">
        <v>219310</v>
      </c>
      <c r="B271" s="402">
        <v>8000</v>
      </c>
      <c r="C271" s="402" t="s">
        <v>721</v>
      </c>
      <c r="D271" s="400" t="s">
        <v>882</v>
      </c>
      <c r="E271" s="401">
        <v>-2416705.87</v>
      </c>
    </row>
    <row r="272" spans="1:5" ht="15">
      <c r="A272" s="402">
        <v>219310</v>
      </c>
      <c r="B272" s="402">
        <v>8100</v>
      </c>
      <c r="C272" s="402" t="s">
        <v>725</v>
      </c>
      <c r="D272" s="400" t="s">
        <v>882</v>
      </c>
      <c r="E272" s="401">
        <v>-1749526.16</v>
      </c>
    </row>
    <row r="273" spans="1:5" ht="15">
      <c r="A273" s="402">
        <v>219320</v>
      </c>
      <c r="B273" s="402">
        <v>8000</v>
      </c>
      <c r="C273" s="402" t="s">
        <v>721</v>
      </c>
      <c r="D273" s="400" t="s">
        <v>883</v>
      </c>
      <c r="E273" s="401">
        <v>-12410056</v>
      </c>
    </row>
    <row r="274" spans="1:5" ht="15">
      <c r="A274" s="402">
        <v>219320</v>
      </c>
      <c r="B274" s="402">
        <v>8100</v>
      </c>
      <c r="C274" s="402" t="s">
        <v>725</v>
      </c>
      <c r="D274" s="400" t="s">
        <v>883</v>
      </c>
      <c r="E274" s="401">
        <v>-1844284.99</v>
      </c>
    </row>
    <row r="275" spans="1:5" ht="15">
      <c r="A275" s="402">
        <v>219510</v>
      </c>
      <c r="B275" s="402">
        <v>8000</v>
      </c>
      <c r="C275" s="402" t="s">
        <v>721</v>
      </c>
      <c r="D275" s="400" t="s">
        <v>884</v>
      </c>
      <c r="E275" s="401">
        <v>-28280606.219999999</v>
      </c>
    </row>
    <row r="276" spans="1:5" ht="15">
      <c r="A276" s="402">
        <v>219510</v>
      </c>
      <c r="B276" s="402">
        <v>8100</v>
      </c>
      <c r="C276" s="402" t="s">
        <v>725</v>
      </c>
      <c r="D276" s="400" t="s">
        <v>884</v>
      </c>
      <c r="E276" s="401">
        <v>0</v>
      </c>
    </row>
    <row r="277" spans="1:5" ht="15">
      <c r="A277" s="402">
        <v>219610</v>
      </c>
      <c r="B277" s="402">
        <v>8000</v>
      </c>
      <c r="C277" s="402" t="s">
        <v>721</v>
      </c>
      <c r="D277" s="400" t="s">
        <v>885</v>
      </c>
      <c r="E277" s="401">
        <v>-22712313.370000001</v>
      </c>
    </row>
    <row r="278" spans="1:5" ht="15">
      <c r="A278" s="402">
        <v>219610</v>
      </c>
      <c r="B278" s="402">
        <v>8100</v>
      </c>
      <c r="C278" s="402" t="s">
        <v>725</v>
      </c>
      <c r="D278" s="400" t="s">
        <v>885</v>
      </c>
      <c r="E278" s="401">
        <v>-1216192.22</v>
      </c>
    </row>
    <row r="279" spans="1:5" ht="15">
      <c r="A279" s="402">
        <v>219620</v>
      </c>
      <c r="B279" s="402">
        <v>8000</v>
      </c>
      <c r="C279" s="402" t="s">
        <v>721</v>
      </c>
      <c r="D279" s="400" t="s">
        <v>886</v>
      </c>
      <c r="E279" s="401">
        <v>-52185.2</v>
      </c>
    </row>
    <row r="280" spans="1:5" ht="15">
      <c r="A280" s="402">
        <v>219620</v>
      </c>
      <c r="B280" s="402">
        <v>8100</v>
      </c>
      <c r="C280" s="402" t="s">
        <v>725</v>
      </c>
      <c r="D280" s="400" t="s">
        <v>886</v>
      </c>
      <c r="E280" s="401">
        <v>-31226.29</v>
      </c>
    </row>
    <row r="281" spans="1:5" ht="15">
      <c r="A281" s="402">
        <v>219630</v>
      </c>
      <c r="B281" s="402">
        <v>8000</v>
      </c>
      <c r="C281" s="402" t="s">
        <v>721</v>
      </c>
      <c r="D281" s="400" t="s">
        <v>887</v>
      </c>
      <c r="E281" s="401">
        <v>-172861.99</v>
      </c>
    </row>
    <row r="282" spans="1:5" ht="15">
      <c r="A282" s="402">
        <v>219640</v>
      </c>
      <c r="B282" s="402">
        <v>8000</v>
      </c>
      <c r="C282" s="402" t="s">
        <v>721</v>
      </c>
      <c r="D282" s="400" t="s">
        <v>888</v>
      </c>
      <c r="E282" s="401">
        <v>0</v>
      </c>
    </row>
    <row r="283" spans="1:5" ht="15">
      <c r="A283" s="402">
        <v>219650</v>
      </c>
      <c r="B283" s="402">
        <v>8000</v>
      </c>
      <c r="C283" s="402" t="s">
        <v>721</v>
      </c>
      <c r="D283" s="400" t="s">
        <v>889</v>
      </c>
      <c r="E283" s="401">
        <v>-379329.75</v>
      </c>
    </row>
    <row r="284" spans="1:5" ht="15">
      <c r="A284" s="402">
        <v>219650</v>
      </c>
      <c r="B284" s="402">
        <v>8100</v>
      </c>
      <c r="C284" s="402" t="s">
        <v>725</v>
      </c>
      <c r="D284" s="400" t="s">
        <v>889</v>
      </c>
      <c r="E284" s="401">
        <v>-41722.93</v>
      </c>
    </row>
    <row r="285" spans="1:5" ht="15">
      <c r="A285" s="402">
        <v>219660</v>
      </c>
      <c r="B285" s="402">
        <v>8000</v>
      </c>
      <c r="C285" s="402" t="s">
        <v>721</v>
      </c>
      <c r="D285" s="400" t="s">
        <v>890</v>
      </c>
      <c r="E285" s="401">
        <v>-8854695.8900000006</v>
      </c>
    </row>
    <row r="286" spans="1:5" ht="15">
      <c r="A286" s="402">
        <v>219660</v>
      </c>
      <c r="B286" s="402">
        <v>8100</v>
      </c>
      <c r="C286" s="402" t="s">
        <v>725</v>
      </c>
      <c r="D286" s="400" t="s">
        <v>890</v>
      </c>
      <c r="E286" s="401">
        <v>-1864720.42</v>
      </c>
    </row>
    <row r="287" spans="1:5" ht="15">
      <c r="A287" s="402">
        <v>219670</v>
      </c>
      <c r="B287" s="402">
        <v>8000</v>
      </c>
      <c r="C287" s="402" t="s">
        <v>721</v>
      </c>
      <c r="D287" s="400" t="s">
        <v>891</v>
      </c>
      <c r="E287" s="401">
        <v>-27072863.800000001</v>
      </c>
    </row>
    <row r="288" spans="1:5" ht="15">
      <c r="A288" s="402">
        <v>219680</v>
      </c>
      <c r="B288" s="402">
        <v>8000</v>
      </c>
      <c r="C288" s="402" t="s">
        <v>721</v>
      </c>
      <c r="D288" s="400" t="s">
        <v>892</v>
      </c>
      <c r="E288" s="401">
        <v>-3267414.6</v>
      </c>
    </row>
    <row r="289" spans="1:5" ht="15">
      <c r="A289" s="402">
        <v>219690</v>
      </c>
      <c r="B289" s="402">
        <v>8000</v>
      </c>
      <c r="C289" s="402" t="s">
        <v>721</v>
      </c>
      <c r="D289" s="400" t="s">
        <v>893</v>
      </c>
      <c r="E289" s="401">
        <v>-2852555.8</v>
      </c>
    </row>
    <row r="290" spans="1:5" ht="15">
      <c r="A290" s="402">
        <v>219701</v>
      </c>
      <c r="B290" s="402">
        <v>8000</v>
      </c>
      <c r="C290" s="402" t="s">
        <v>721</v>
      </c>
      <c r="D290" s="400" t="s">
        <v>894</v>
      </c>
      <c r="E290" s="401">
        <v>0</v>
      </c>
    </row>
    <row r="291" spans="1:5" ht="15">
      <c r="A291" s="402">
        <v>219701</v>
      </c>
      <c r="B291" s="402">
        <v>8100</v>
      </c>
      <c r="C291" s="402" t="s">
        <v>725</v>
      </c>
      <c r="D291" s="400" t="s">
        <v>894</v>
      </c>
      <c r="E291" s="401">
        <v>0</v>
      </c>
    </row>
    <row r="292" spans="1:5" ht="15">
      <c r="A292" s="402">
        <v>221020</v>
      </c>
      <c r="B292" s="402">
        <v>8000</v>
      </c>
      <c r="C292" s="402" t="s">
        <v>721</v>
      </c>
      <c r="D292" s="400" t="s">
        <v>895</v>
      </c>
      <c r="E292" s="401">
        <v>0</v>
      </c>
    </row>
    <row r="293" spans="1:5" ht="15">
      <c r="A293" s="402">
        <v>221020</v>
      </c>
      <c r="B293" s="402">
        <v>8100</v>
      </c>
      <c r="C293" s="402" t="s">
        <v>725</v>
      </c>
      <c r="D293" s="400" t="s">
        <v>895</v>
      </c>
      <c r="E293" s="401">
        <v>0</v>
      </c>
    </row>
    <row r="294" spans="1:5" ht="15">
      <c r="A294" s="402">
        <v>222010</v>
      </c>
      <c r="B294" s="402">
        <v>8000</v>
      </c>
      <c r="C294" s="402" t="s">
        <v>721</v>
      </c>
      <c r="D294" s="400" t="s">
        <v>896</v>
      </c>
      <c r="E294" s="401">
        <v>0</v>
      </c>
    </row>
    <row r="295" spans="1:5" ht="15">
      <c r="A295" s="402">
        <v>222010</v>
      </c>
      <c r="B295" s="402">
        <v>8100</v>
      </c>
      <c r="C295" s="402" t="s">
        <v>725</v>
      </c>
      <c r="D295" s="400" t="s">
        <v>896</v>
      </c>
      <c r="E295" s="401">
        <v>0</v>
      </c>
    </row>
    <row r="296" spans="1:5" ht="15">
      <c r="A296" s="402">
        <v>232010</v>
      </c>
      <c r="B296" s="402">
        <v>8000</v>
      </c>
      <c r="C296" s="402" t="s">
        <v>721</v>
      </c>
      <c r="D296" s="400" t="s">
        <v>897</v>
      </c>
      <c r="E296" s="401">
        <v>3808189.15</v>
      </c>
    </row>
    <row r="297" spans="1:5" ht="15">
      <c r="A297" s="402">
        <v>235010</v>
      </c>
      <c r="B297" s="402">
        <v>8000</v>
      </c>
      <c r="C297" s="402" t="s">
        <v>721</v>
      </c>
      <c r="D297" s="400" t="s">
        <v>898</v>
      </c>
      <c r="E297" s="401">
        <v>1392623.34</v>
      </c>
    </row>
    <row r="298" spans="1:5" ht="15">
      <c r="A298" s="402">
        <v>237010</v>
      </c>
      <c r="B298" s="402">
        <v>8000</v>
      </c>
      <c r="C298" s="402" t="s">
        <v>721</v>
      </c>
      <c r="D298" s="400" t="s">
        <v>899</v>
      </c>
      <c r="E298" s="401">
        <v>22271877.48</v>
      </c>
    </row>
    <row r="299" spans="1:5" ht="15">
      <c r="A299" s="402">
        <v>237010</v>
      </c>
      <c r="B299" s="402">
        <v>8100</v>
      </c>
      <c r="C299" s="402" t="s">
        <v>725</v>
      </c>
      <c r="D299" s="400" t="s">
        <v>899</v>
      </c>
      <c r="E299" s="401">
        <v>9199180.8599999994</v>
      </c>
    </row>
    <row r="300" spans="1:5" ht="15">
      <c r="A300" s="402">
        <v>237040</v>
      </c>
      <c r="B300" s="402">
        <v>8000</v>
      </c>
      <c r="C300" s="402" t="s">
        <v>721</v>
      </c>
      <c r="D300" s="400" t="s">
        <v>900</v>
      </c>
      <c r="E300" s="401">
        <v>0.01</v>
      </c>
    </row>
    <row r="301" spans="1:5" ht="15">
      <c r="A301" s="402">
        <v>240100</v>
      </c>
      <c r="B301" s="402">
        <v>8000</v>
      </c>
      <c r="C301" s="402" t="s">
        <v>721</v>
      </c>
      <c r="D301" s="400" t="s">
        <v>901</v>
      </c>
      <c r="E301" s="401">
        <v>622691550.45000005</v>
      </c>
    </row>
    <row r="302" spans="1:5" ht="15">
      <c r="A302" s="402">
        <v>240300</v>
      </c>
      <c r="B302" s="402">
        <v>8000</v>
      </c>
      <c r="C302" s="402" t="s">
        <v>721</v>
      </c>
      <c r="D302" s="400" t="s">
        <v>902</v>
      </c>
      <c r="E302" s="401">
        <v>375408449.55000001</v>
      </c>
    </row>
    <row r="303" spans="1:5" ht="15">
      <c r="A303" s="402">
        <v>250010</v>
      </c>
      <c r="B303" s="402">
        <v>8100</v>
      </c>
      <c r="C303" s="402" t="s">
        <v>725</v>
      </c>
      <c r="D303" s="400" t="s">
        <v>903</v>
      </c>
      <c r="E303" s="401">
        <v>0</v>
      </c>
    </row>
    <row r="304" spans="1:5" ht="15">
      <c r="A304" s="402">
        <v>250040</v>
      </c>
      <c r="B304" s="402">
        <v>8100</v>
      </c>
      <c r="C304" s="402" t="s">
        <v>725</v>
      </c>
      <c r="D304" s="400" t="s">
        <v>904</v>
      </c>
      <c r="E304" s="401">
        <v>0</v>
      </c>
    </row>
    <row r="305" spans="1:5" ht="15">
      <c r="A305" s="402">
        <v>250050</v>
      </c>
      <c r="B305" s="402">
        <v>8000</v>
      </c>
      <c r="C305" s="402" t="s">
        <v>721</v>
      </c>
      <c r="D305" s="400" t="s">
        <v>905</v>
      </c>
      <c r="E305" s="401">
        <v>0</v>
      </c>
    </row>
    <row r="306" spans="1:5" ht="15">
      <c r="A306" s="402">
        <v>250050</v>
      </c>
      <c r="B306" s="402">
        <v>8100</v>
      </c>
      <c r="C306" s="402" t="s">
        <v>725</v>
      </c>
      <c r="D306" s="400" t="s">
        <v>905</v>
      </c>
      <c r="E306" s="401">
        <v>0</v>
      </c>
    </row>
    <row r="307" spans="1:5" ht="15">
      <c r="A307" s="402">
        <v>250080</v>
      </c>
      <c r="B307" s="402">
        <v>8100</v>
      </c>
      <c r="C307" s="402" t="s">
        <v>725</v>
      </c>
      <c r="D307" s="400" t="s">
        <v>906</v>
      </c>
      <c r="E307" s="401">
        <v>46133.32</v>
      </c>
    </row>
    <row r="308" spans="1:5" ht="15">
      <c r="A308" s="402">
        <v>250090</v>
      </c>
      <c r="B308" s="402">
        <v>8000</v>
      </c>
      <c r="C308" s="402" t="s">
        <v>721</v>
      </c>
      <c r="D308" s="400" t="s">
        <v>533</v>
      </c>
      <c r="E308" s="401">
        <v>0</v>
      </c>
    </row>
    <row r="309" spans="1:5" ht="15">
      <c r="A309" s="402">
        <v>250090</v>
      </c>
      <c r="B309" s="402">
        <v>8100</v>
      </c>
      <c r="C309" s="402" t="s">
        <v>725</v>
      </c>
      <c r="D309" s="400" t="s">
        <v>533</v>
      </c>
      <c r="E309" s="401">
        <v>40206.76</v>
      </c>
    </row>
    <row r="310" spans="1:5" ht="15">
      <c r="A310" s="402">
        <v>260030</v>
      </c>
      <c r="B310" s="402">
        <v>8000</v>
      </c>
      <c r="C310" s="402" t="s">
        <v>721</v>
      </c>
      <c r="D310" s="400" t="s">
        <v>907</v>
      </c>
      <c r="E310" s="401">
        <v>0</v>
      </c>
    </row>
    <row r="311" spans="1:5" ht="15">
      <c r="A311" s="402">
        <v>260031</v>
      </c>
      <c r="B311" s="402">
        <v>8000</v>
      </c>
      <c r="C311" s="402" t="s">
        <v>721</v>
      </c>
      <c r="D311" s="400" t="s">
        <v>907</v>
      </c>
      <c r="E311" s="401">
        <v>88045317.430000007</v>
      </c>
    </row>
    <row r="312" spans="1:5" ht="15">
      <c r="A312" s="402">
        <v>260040</v>
      </c>
      <c r="B312" s="402">
        <v>8000</v>
      </c>
      <c r="C312" s="402" t="s">
        <v>721</v>
      </c>
      <c r="D312" s="400" t="s">
        <v>908</v>
      </c>
      <c r="E312" s="401">
        <v>5562038</v>
      </c>
    </row>
    <row r="313" spans="1:5" ht="15">
      <c r="A313" s="402">
        <v>260040</v>
      </c>
      <c r="B313" s="402">
        <v>8100</v>
      </c>
      <c r="C313" s="402" t="s">
        <v>725</v>
      </c>
      <c r="D313" s="400" t="s">
        <v>908</v>
      </c>
      <c r="E313" s="401">
        <v>0</v>
      </c>
    </row>
    <row r="314" spans="1:5" ht="15">
      <c r="A314" s="402">
        <v>260050</v>
      </c>
      <c r="B314" s="402">
        <v>8000</v>
      </c>
      <c r="C314" s="402" t="s">
        <v>721</v>
      </c>
      <c r="D314" s="400" t="s">
        <v>909</v>
      </c>
      <c r="E314" s="401">
        <v>1153846</v>
      </c>
    </row>
    <row r="315" spans="1:5" ht="15">
      <c r="A315" s="402">
        <v>269010</v>
      </c>
      <c r="B315" s="402">
        <v>8000</v>
      </c>
      <c r="C315" s="402" t="s">
        <v>721</v>
      </c>
      <c r="D315" s="400" t="s">
        <v>910</v>
      </c>
      <c r="E315" s="401">
        <v>3710</v>
      </c>
    </row>
    <row r="316" spans="1:5" ht="15">
      <c r="A316" s="402">
        <v>270126</v>
      </c>
      <c r="B316" s="402">
        <v>8000</v>
      </c>
      <c r="C316" s="402" t="s">
        <v>721</v>
      </c>
      <c r="D316" s="400" t="s">
        <v>911</v>
      </c>
      <c r="E316" s="401">
        <v>2691</v>
      </c>
    </row>
    <row r="317" spans="1:5" ht="15">
      <c r="A317" s="402">
        <v>270127</v>
      </c>
      <c r="B317" s="402">
        <v>8100</v>
      </c>
      <c r="C317" s="402" t="s">
        <v>725</v>
      </c>
      <c r="D317" s="400" t="s">
        <v>912</v>
      </c>
      <c r="E317" s="401">
        <v>4057</v>
      </c>
    </row>
    <row r="318" spans="1:5" ht="15">
      <c r="A318" s="402">
        <v>280039</v>
      </c>
      <c r="B318" s="402">
        <v>8000</v>
      </c>
      <c r="C318" s="402" t="s">
        <v>721</v>
      </c>
      <c r="D318" s="400" t="s">
        <v>913</v>
      </c>
      <c r="E318" s="401">
        <v>140834103.97999999</v>
      </c>
    </row>
    <row r="319" spans="1:5" ht="15">
      <c r="A319" s="402">
        <v>280039</v>
      </c>
      <c r="B319" s="402">
        <v>8000</v>
      </c>
      <c r="C319" s="402" t="s">
        <v>721</v>
      </c>
      <c r="D319" s="400" t="s">
        <v>913</v>
      </c>
      <c r="E319" s="401">
        <v>106385</v>
      </c>
    </row>
    <row r="320" spans="1:5" ht="15">
      <c r="A320" s="402">
        <v>280072</v>
      </c>
      <c r="B320" s="402">
        <v>8100</v>
      </c>
      <c r="C320" s="402" t="s">
        <v>725</v>
      </c>
      <c r="D320" s="400" t="s">
        <v>914</v>
      </c>
      <c r="E320" s="401">
        <v>0</v>
      </c>
    </row>
    <row r="321" spans="1:5" ht="15">
      <c r="A321" s="402">
        <v>280128</v>
      </c>
      <c r="B321" s="402">
        <v>8000</v>
      </c>
      <c r="C321" s="402" t="s">
        <v>721</v>
      </c>
      <c r="D321" s="400" t="s">
        <v>915</v>
      </c>
      <c r="E321" s="401">
        <v>28282408.280000001</v>
      </c>
    </row>
    <row r="322" spans="1:5" ht="15">
      <c r="A322" s="402">
        <v>280128</v>
      </c>
      <c r="B322" s="402">
        <v>8000</v>
      </c>
      <c r="C322" s="402" t="s">
        <v>721</v>
      </c>
      <c r="D322" s="400" t="s">
        <v>915</v>
      </c>
      <c r="E322" s="401">
        <v>-2054047.32</v>
      </c>
    </row>
    <row r="323" spans="1:5" ht="15">
      <c r="A323" s="402">
        <v>280128</v>
      </c>
      <c r="B323" s="402">
        <v>8100</v>
      </c>
      <c r="C323" s="402" t="s">
        <v>725</v>
      </c>
      <c r="D323" s="400" t="s">
        <v>915</v>
      </c>
      <c r="E323" s="401">
        <v>0</v>
      </c>
    </row>
    <row r="324" spans="1:5" ht="15">
      <c r="A324" s="402">
        <v>280134</v>
      </c>
      <c r="B324" s="402">
        <v>8000</v>
      </c>
      <c r="C324" s="402" t="s">
        <v>721</v>
      </c>
      <c r="D324" s="400" t="s">
        <v>916</v>
      </c>
      <c r="E324" s="401">
        <v>35152</v>
      </c>
    </row>
    <row r="325" spans="1:5" ht="15">
      <c r="A325" s="402">
        <v>285039</v>
      </c>
      <c r="B325" s="402">
        <v>8000</v>
      </c>
      <c r="C325" s="402" t="s">
        <v>721</v>
      </c>
      <c r="D325" s="400" t="s">
        <v>917</v>
      </c>
      <c r="E325" s="401">
        <v>261257833.66</v>
      </c>
    </row>
    <row r="326" spans="1:5" ht="15">
      <c r="A326" s="402">
        <v>285039</v>
      </c>
      <c r="B326" s="402">
        <v>8000</v>
      </c>
      <c r="C326" s="402" t="s">
        <v>721</v>
      </c>
      <c r="D326" s="400" t="s">
        <v>917</v>
      </c>
      <c r="E326" s="401">
        <v>-258138093.78</v>
      </c>
    </row>
    <row r="327" spans="1:5" ht="15">
      <c r="A327" s="402">
        <v>285072</v>
      </c>
      <c r="B327" s="402">
        <v>8100</v>
      </c>
      <c r="C327" s="402" t="s">
        <v>725</v>
      </c>
      <c r="D327" s="400" t="s">
        <v>918</v>
      </c>
      <c r="E327" s="401">
        <v>87608763.950000003</v>
      </c>
    </row>
    <row r="328" spans="1:5" ht="15">
      <c r="A328" s="402">
        <v>285072</v>
      </c>
      <c r="B328" s="402">
        <v>8100</v>
      </c>
      <c r="C328" s="402" t="s">
        <v>725</v>
      </c>
      <c r="D328" s="400" t="s">
        <v>918</v>
      </c>
      <c r="E328" s="401">
        <v>-87525066.950000003</v>
      </c>
    </row>
    <row r="329" spans="1:5" ht="15">
      <c r="A329" s="402">
        <v>285251</v>
      </c>
      <c r="B329" s="402">
        <v>8000</v>
      </c>
      <c r="C329" s="402" t="s">
        <v>721</v>
      </c>
      <c r="D329" s="400" t="s">
        <v>919</v>
      </c>
      <c r="E329" s="401">
        <v>0</v>
      </c>
    </row>
    <row r="330" spans="1:5" ht="15">
      <c r="A330" s="402">
        <v>285310</v>
      </c>
      <c r="B330" s="402">
        <v>8000</v>
      </c>
      <c r="C330" s="402" t="s">
        <v>721</v>
      </c>
      <c r="D330" s="400" t="s">
        <v>920</v>
      </c>
      <c r="E330" s="401">
        <v>709391554.42999995</v>
      </c>
    </row>
    <row r="331" spans="1:5" ht="15">
      <c r="A331" s="402">
        <v>285320</v>
      </c>
      <c r="B331" s="402">
        <v>8000</v>
      </c>
      <c r="C331" s="402" t="s">
        <v>721</v>
      </c>
      <c r="D331" s="400" t="s">
        <v>921</v>
      </c>
      <c r="E331" s="401">
        <v>71146513.140000001</v>
      </c>
    </row>
    <row r="332" spans="1:5" ht="15">
      <c r="A332" s="402">
        <v>285330</v>
      </c>
      <c r="B332" s="402">
        <v>8000</v>
      </c>
      <c r="C332" s="402" t="s">
        <v>721</v>
      </c>
      <c r="D332" s="400" t="s">
        <v>922</v>
      </c>
      <c r="E332" s="401">
        <v>314882.3</v>
      </c>
    </row>
    <row r="333" spans="1:5" ht="15">
      <c r="A333" s="402">
        <v>285340</v>
      </c>
      <c r="B333" s="402">
        <v>8000</v>
      </c>
      <c r="C333" s="402" t="s">
        <v>721</v>
      </c>
      <c r="D333" s="400" t="s">
        <v>923</v>
      </c>
      <c r="E333" s="401">
        <v>336494.68</v>
      </c>
    </row>
    <row r="334" spans="1:5" ht="15">
      <c r="A334" s="402">
        <v>285350</v>
      </c>
      <c r="B334" s="402">
        <v>8000</v>
      </c>
      <c r="C334" s="402" t="s">
        <v>721</v>
      </c>
      <c r="D334" s="400" t="s">
        <v>804</v>
      </c>
      <c r="E334" s="401">
        <v>74093264.180000007</v>
      </c>
    </row>
    <row r="335" spans="1:5" ht="15">
      <c r="A335" s="402">
        <v>285360</v>
      </c>
      <c r="B335" s="402">
        <v>8000</v>
      </c>
      <c r="C335" s="402" t="s">
        <v>721</v>
      </c>
      <c r="D335" s="400" t="s">
        <v>924</v>
      </c>
      <c r="E335" s="401">
        <v>-27177.24</v>
      </c>
    </row>
    <row r="336" spans="1:5" ht="15">
      <c r="A336" s="402">
        <v>285364</v>
      </c>
      <c r="B336" s="402">
        <v>8000</v>
      </c>
      <c r="C336" s="402" t="s">
        <v>721</v>
      </c>
      <c r="D336" s="400" t="s">
        <v>925</v>
      </c>
      <c r="E336" s="401">
        <v>0</v>
      </c>
    </row>
    <row r="337" spans="1:5" ht="15">
      <c r="A337" s="402">
        <v>285365</v>
      </c>
      <c r="B337" s="402">
        <v>8000</v>
      </c>
      <c r="C337" s="402" t="s">
        <v>721</v>
      </c>
      <c r="D337" s="400" t="s">
        <v>926</v>
      </c>
      <c r="E337" s="401">
        <v>392393.38</v>
      </c>
    </row>
    <row r="338" spans="1:5" ht="15">
      <c r="A338" s="402">
        <v>290010</v>
      </c>
      <c r="B338" s="402">
        <v>8000</v>
      </c>
      <c r="C338" s="402" t="s">
        <v>721</v>
      </c>
      <c r="D338" s="400" t="s">
        <v>927</v>
      </c>
      <c r="E338" s="401">
        <v>0.48</v>
      </c>
    </row>
    <row r="339" spans="1:5" ht="15">
      <c r="A339" s="402">
        <v>291010</v>
      </c>
      <c r="B339" s="402">
        <v>8000</v>
      </c>
      <c r="C339" s="402" t="s">
        <v>721</v>
      </c>
      <c r="D339" s="400" t="s">
        <v>928</v>
      </c>
      <c r="E339" s="401">
        <v>0</v>
      </c>
    </row>
    <row r="340" spans="1:5" ht="15">
      <c r="A340" s="402">
        <v>291010</v>
      </c>
      <c r="B340" s="402">
        <v>8100</v>
      </c>
      <c r="C340" s="402" t="s">
        <v>725</v>
      </c>
      <c r="D340" s="400" t="s">
        <v>928</v>
      </c>
      <c r="E340" s="401">
        <v>0</v>
      </c>
    </row>
    <row r="341" spans="1:5" ht="15">
      <c r="A341" s="402">
        <v>291020</v>
      </c>
      <c r="B341" s="402">
        <v>8000</v>
      </c>
      <c r="C341" s="402" t="s">
        <v>721</v>
      </c>
      <c r="D341" s="400" t="s">
        <v>929</v>
      </c>
      <c r="E341" s="401">
        <v>0</v>
      </c>
    </row>
    <row r="342" spans="1:5" ht="15">
      <c r="A342" s="402">
        <v>291020</v>
      </c>
      <c r="B342" s="402">
        <v>8100</v>
      </c>
      <c r="C342" s="402" t="s">
        <v>725</v>
      </c>
      <c r="D342" s="400" t="s">
        <v>929</v>
      </c>
      <c r="E342" s="401">
        <v>0</v>
      </c>
    </row>
    <row r="343" spans="1:5" ht="15">
      <c r="A343" s="402">
        <v>291030</v>
      </c>
      <c r="B343" s="402">
        <v>8000</v>
      </c>
      <c r="C343" s="402" t="s">
        <v>721</v>
      </c>
      <c r="D343" s="400" t="s">
        <v>930</v>
      </c>
      <c r="E343" s="401">
        <v>36</v>
      </c>
    </row>
    <row r="344" spans="1:5" ht="15">
      <c r="A344" s="402">
        <v>291030</v>
      </c>
      <c r="B344" s="402">
        <v>8000</v>
      </c>
      <c r="C344" s="402" t="s">
        <v>721</v>
      </c>
      <c r="D344" s="400" t="s">
        <v>930</v>
      </c>
      <c r="E344" s="401">
        <v>-36</v>
      </c>
    </row>
    <row r="345" spans="1:5" ht="15">
      <c r="A345" s="402">
        <v>291030</v>
      </c>
      <c r="B345" s="402">
        <v>8100</v>
      </c>
      <c r="C345" s="402" t="s">
        <v>725</v>
      </c>
      <c r="D345" s="400" t="s">
        <v>930</v>
      </c>
      <c r="E345" s="401">
        <v>0</v>
      </c>
    </row>
    <row r="346" spans="1:5" ht="15">
      <c r="A346" s="402">
        <v>292010</v>
      </c>
      <c r="B346" s="402">
        <v>8000</v>
      </c>
      <c r="C346" s="402" t="s">
        <v>721</v>
      </c>
      <c r="D346" s="400" t="s">
        <v>931</v>
      </c>
      <c r="E346" s="401">
        <v>0</v>
      </c>
    </row>
    <row r="347" spans="1:5" ht="15">
      <c r="A347" s="402">
        <v>292020</v>
      </c>
      <c r="B347" s="402">
        <v>8000</v>
      </c>
      <c r="C347" s="402" t="s">
        <v>721</v>
      </c>
      <c r="D347" s="400" t="s">
        <v>932</v>
      </c>
      <c r="E347" s="401">
        <v>0</v>
      </c>
    </row>
    <row r="348" spans="1:5" ht="15">
      <c r="A348" s="402">
        <v>292020</v>
      </c>
      <c r="B348" s="402">
        <v>8100</v>
      </c>
      <c r="C348" s="402" t="s">
        <v>725</v>
      </c>
      <c r="D348" s="400" t="s">
        <v>932</v>
      </c>
      <c r="E348" s="401">
        <v>0</v>
      </c>
    </row>
    <row r="349" spans="1:5" ht="15">
      <c r="A349" s="402">
        <v>292030</v>
      </c>
      <c r="B349" s="402">
        <v>8000</v>
      </c>
      <c r="C349" s="402" t="s">
        <v>721</v>
      </c>
      <c r="D349" s="400" t="s">
        <v>933</v>
      </c>
      <c r="E349" s="401">
        <v>0</v>
      </c>
    </row>
    <row r="350" spans="1:5" ht="15">
      <c r="A350" s="402">
        <v>292030</v>
      </c>
      <c r="B350" s="402">
        <v>8100</v>
      </c>
      <c r="C350" s="402" t="s">
        <v>725</v>
      </c>
      <c r="D350" s="400" t="s">
        <v>933</v>
      </c>
      <c r="E350" s="401">
        <v>0</v>
      </c>
    </row>
    <row r="351" spans="1:5" ht="15">
      <c r="A351" s="402">
        <v>292050</v>
      </c>
      <c r="B351" s="402">
        <v>8000</v>
      </c>
      <c r="C351" s="402" t="s">
        <v>721</v>
      </c>
      <c r="D351" s="400" t="s">
        <v>934</v>
      </c>
      <c r="E351" s="401">
        <v>30500</v>
      </c>
    </row>
    <row r="352" spans="1:5" ht="15">
      <c r="A352" s="402">
        <v>292050</v>
      </c>
      <c r="B352" s="402">
        <v>8000</v>
      </c>
      <c r="C352" s="402" t="s">
        <v>721</v>
      </c>
      <c r="D352" s="400" t="s">
        <v>934</v>
      </c>
      <c r="E352" s="401">
        <v>-4000</v>
      </c>
    </row>
    <row r="353" spans="1:5" ht="15">
      <c r="A353" s="402">
        <v>292050</v>
      </c>
      <c r="B353" s="402">
        <v>8100</v>
      </c>
      <c r="C353" s="402" t="s">
        <v>725</v>
      </c>
      <c r="D353" s="400" t="s">
        <v>934</v>
      </c>
      <c r="E353" s="401">
        <v>20500</v>
      </c>
    </row>
    <row r="354" spans="1:5" ht="15">
      <c r="A354" s="402">
        <v>292060</v>
      </c>
      <c r="B354" s="402">
        <v>8000</v>
      </c>
      <c r="C354" s="402" t="s">
        <v>721</v>
      </c>
      <c r="D354" s="400" t="s">
        <v>935</v>
      </c>
      <c r="E354" s="401">
        <v>0</v>
      </c>
    </row>
    <row r="355" spans="1:5" ht="15">
      <c r="A355" s="402">
        <v>292060</v>
      </c>
      <c r="B355" s="402">
        <v>8100</v>
      </c>
      <c r="C355" s="402" t="s">
        <v>725</v>
      </c>
      <c r="D355" s="400" t="s">
        <v>935</v>
      </c>
      <c r="E355" s="401">
        <v>63800</v>
      </c>
    </row>
    <row r="356" spans="1:5" ht="15">
      <c r="A356" s="402">
        <v>292070</v>
      </c>
      <c r="B356" s="402">
        <v>8000</v>
      </c>
      <c r="C356" s="402" t="s">
        <v>721</v>
      </c>
      <c r="D356" s="400" t="s">
        <v>936</v>
      </c>
      <c r="E356" s="401">
        <v>27918</v>
      </c>
    </row>
    <row r="357" spans="1:5" ht="15">
      <c r="A357" s="402">
        <v>292070</v>
      </c>
      <c r="B357" s="402">
        <v>8000</v>
      </c>
      <c r="C357" s="402" t="s">
        <v>721</v>
      </c>
      <c r="D357" s="400" t="s">
        <v>936</v>
      </c>
      <c r="E357" s="401">
        <v>-27918</v>
      </c>
    </row>
    <row r="358" spans="1:5" ht="15">
      <c r="A358" s="402">
        <v>292070</v>
      </c>
      <c r="B358" s="402">
        <v>8100</v>
      </c>
      <c r="C358" s="402" t="s">
        <v>725</v>
      </c>
      <c r="D358" s="400" t="s">
        <v>936</v>
      </c>
      <c r="E358" s="401">
        <v>0</v>
      </c>
    </row>
    <row r="359" spans="1:5" ht="15">
      <c r="A359" s="402">
        <v>292080</v>
      </c>
      <c r="B359" s="402">
        <v>8000</v>
      </c>
      <c r="C359" s="402" t="s">
        <v>721</v>
      </c>
      <c r="D359" s="400" t="s">
        <v>937</v>
      </c>
      <c r="E359" s="401">
        <v>0</v>
      </c>
    </row>
    <row r="360" spans="1:5" ht="15">
      <c r="A360" s="402">
        <v>292080</v>
      </c>
      <c r="B360" s="402">
        <v>8100</v>
      </c>
      <c r="C360" s="402" t="s">
        <v>725</v>
      </c>
      <c r="D360" s="400" t="s">
        <v>937</v>
      </c>
      <c r="E360" s="401">
        <v>17500</v>
      </c>
    </row>
    <row r="361" spans="1:5" ht="15">
      <c r="A361" s="402">
        <v>292110</v>
      </c>
      <c r="B361" s="402">
        <v>8000</v>
      </c>
      <c r="C361" s="402" t="s">
        <v>721</v>
      </c>
      <c r="D361" s="400" t="s">
        <v>938</v>
      </c>
      <c r="E361" s="401">
        <v>0</v>
      </c>
    </row>
    <row r="362" spans="1:5" ht="15">
      <c r="A362" s="402">
        <v>292110</v>
      </c>
      <c r="B362" s="402">
        <v>8100</v>
      </c>
      <c r="C362" s="402" t="s">
        <v>725</v>
      </c>
      <c r="D362" s="400" t="s">
        <v>938</v>
      </c>
      <c r="E362" s="401">
        <v>0</v>
      </c>
    </row>
    <row r="363" spans="1:5" ht="15">
      <c r="A363" s="402">
        <v>293010</v>
      </c>
      <c r="B363" s="402">
        <v>8000</v>
      </c>
      <c r="C363" s="402" t="s">
        <v>721</v>
      </c>
      <c r="D363" s="400" t="s">
        <v>939</v>
      </c>
      <c r="E363" s="401">
        <v>-151478</v>
      </c>
    </row>
    <row r="364" spans="1:5" ht="15">
      <c r="A364" s="402">
        <v>293013</v>
      </c>
      <c r="B364" s="402">
        <v>8000</v>
      </c>
      <c r="C364" s="402" t="s">
        <v>721</v>
      </c>
      <c r="D364" s="400" t="s">
        <v>940</v>
      </c>
      <c r="E364" s="401">
        <v>444</v>
      </c>
    </row>
    <row r="365" spans="1:5" ht="15">
      <c r="A365" s="402">
        <v>293040</v>
      </c>
      <c r="B365" s="402">
        <v>8000</v>
      </c>
      <c r="C365" s="402" t="s">
        <v>721</v>
      </c>
      <c r="D365" s="400" t="s">
        <v>941</v>
      </c>
      <c r="E365" s="401">
        <v>13803009.5</v>
      </c>
    </row>
    <row r="366" spans="1:5" ht="15">
      <c r="A366" s="402">
        <v>293070</v>
      </c>
      <c r="B366" s="402">
        <v>8000</v>
      </c>
      <c r="C366" s="402" t="s">
        <v>721</v>
      </c>
      <c r="D366" s="400" t="s">
        <v>942</v>
      </c>
      <c r="E366" s="401">
        <v>0</v>
      </c>
    </row>
    <row r="367" spans="1:5" ht="15">
      <c r="A367" s="402">
        <v>294010</v>
      </c>
      <c r="B367" s="402">
        <v>8000</v>
      </c>
      <c r="C367" s="402" t="s">
        <v>721</v>
      </c>
      <c r="D367" s="400" t="s">
        <v>943</v>
      </c>
      <c r="E367" s="401">
        <v>50608754</v>
      </c>
    </row>
    <row r="368" spans="1:5" ht="15">
      <c r="A368" s="402">
        <v>294020</v>
      </c>
      <c r="B368" s="402">
        <v>8000</v>
      </c>
      <c r="C368" s="402" t="s">
        <v>721</v>
      </c>
      <c r="D368" s="400" t="s">
        <v>944</v>
      </c>
      <c r="E368" s="401">
        <v>0</v>
      </c>
    </row>
    <row r="369" spans="1:5" ht="15">
      <c r="A369" s="402">
        <v>294020</v>
      </c>
      <c r="B369" s="402">
        <v>8100</v>
      </c>
      <c r="C369" s="402" t="s">
        <v>725</v>
      </c>
      <c r="D369" s="400" t="s">
        <v>944</v>
      </c>
      <c r="E369" s="401">
        <v>0</v>
      </c>
    </row>
    <row r="370" spans="1:5" ht="15">
      <c r="A370" s="402">
        <v>294030</v>
      </c>
      <c r="B370" s="402">
        <v>8000</v>
      </c>
      <c r="C370" s="402" t="s">
        <v>721</v>
      </c>
      <c r="D370" s="400" t="s">
        <v>945</v>
      </c>
      <c r="E370" s="401">
        <v>174298</v>
      </c>
    </row>
    <row r="371" spans="1:5" ht="15">
      <c r="A371" s="402">
        <v>294030</v>
      </c>
      <c r="B371" s="402">
        <v>8100</v>
      </c>
      <c r="C371" s="402" t="s">
        <v>725</v>
      </c>
      <c r="D371" s="400" t="s">
        <v>945</v>
      </c>
      <c r="E371" s="401">
        <v>10831</v>
      </c>
    </row>
    <row r="372" spans="1:5" ht="15">
      <c r="A372" s="402">
        <v>295010</v>
      </c>
      <c r="B372" s="402">
        <v>8000</v>
      </c>
      <c r="C372" s="402" t="s">
        <v>721</v>
      </c>
      <c r="D372" s="400" t="s">
        <v>946</v>
      </c>
      <c r="E372" s="401">
        <v>0</v>
      </c>
    </row>
    <row r="373" spans="1:5" ht="15">
      <c r="A373" s="402">
        <v>295010</v>
      </c>
      <c r="B373" s="402">
        <v>8100</v>
      </c>
      <c r="C373" s="402" t="s">
        <v>725</v>
      </c>
      <c r="D373" s="400" t="s">
        <v>946</v>
      </c>
      <c r="E373" s="401">
        <v>0.08</v>
      </c>
    </row>
    <row r="374" spans="1:5" ht="15">
      <c r="A374" s="402">
        <v>296060</v>
      </c>
      <c r="B374" s="402">
        <v>8000</v>
      </c>
      <c r="C374" s="402" t="s">
        <v>721</v>
      </c>
      <c r="D374" s="400" t="s">
        <v>947</v>
      </c>
      <c r="E374" s="401">
        <v>0</v>
      </c>
    </row>
    <row r="375" spans="1:5" ht="15">
      <c r="A375" s="402">
        <v>296070</v>
      </c>
      <c r="B375" s="402">
        <v>8000</v>
      </c>
      <c r="C375" s="402" t="s">
        <v>721</v>
      </c>
      <c r="D375" s="400" t="s">
        <v>948</v>
      </c>
      <c r="E375" s="401">
        <v>131876</v>
      </c>
    </row>
    <row r="376" spans="1:5" ht="15">
      <c r="A376" s="402">
        <v>296070</v>
      </c>
      <c r="B376" s="402">
        <v>8100</v>
      </c>
      <c r="C376" s="402" t="s">
        <v>725</v>
      </c>
      <c r="D376" s="400" t="s">
        <v>948</v>
      </c>
      <c r="E376" s="401">
        <v>34180</v>
      </c>
    </row>
    <row r="377" spans="1:5" ht="15">
      <c r="A377" s="402">
        <v>297010</v>
      </c>
      <c r="B377" s="402">
        <v>8000</v>
      </c>
      <c r="C377" s="402" t="s">
        <v>721</v>
      </c>
      <c r="D377" s="400" t="s">
        <v>949</v>
      </c>
      <c r="E377" s="401">
        <v>108500</v>
      </c>
    </row>
    <row r="378" spans="1:5" ht="15">
      <c r="A378" s="402">
        <v>297020</v>
      </c>
      <c r="B378" s="402">
        <v>8000</v>
      </c>
      <c r="C378" s="402" t="s">
        <v>721</v>
      </c>
      <c r="D378" s="400" t="s">
        <v>950</v>
      </c>
      <c r="E378" s="401">
        <v>4074268</v>
      </c>
    </row>
    <row r="379" spans="1:5" ht="15">
      <c r="A379" s="402">
        <v>297020</v>
      </c>
      <c r="B379" s="402">
        <v>8100</v>
      </c>
      <c r="C379" s="402" t="s">
        <v>725</v>
      </c>
      <c r="D379" s="400" t="s">
        <v>950</v>
      </c>
      <c r="E379" s="401">
        <v>900566</v>
      </c>
    </row>
    <row r="380" spans="1:5" ht="15">
      <c r="A380" s="402">
        <v>299010</v>
      </c>
      <c r="B380" s="402">
        <v>8000</v>
      </c>
      <c r="C380" s="402" t="s">
        <v>721</v>
      </c>
      <c r="D380" s="400" t="s">
        <v>951</v>
      </c>
      <c r="E380" s="401">
        <v>242505283.72999999</v>
      </c>
    </row>
    <row r="381" spans="1:5" ht="15">
      <c r="A381" s="402">
        <v>299010</v>
      </c>
      <c r="B381" s="402">
        <v>8100</v>
      </c>
      <c r="C381" s="402" t="s">
        <v>725</v>
      </c>
      <c r="D381" s="400" t="s">
        <v>951</v>
      </c>
      <c r="E381" s="401">
        <v>-911635158.73000002</v>
      </c>
    </row>
    <row r="382" spans="1:5" ht="15">
      <c r="A382" s="402">
        <v>300040</v>
      </c>
      <c r="B382" s="402">
        <v>8000</v>
      </c>
      <c r="C382" s="402" t="s">
        <v>721</v>
      </c>
      <c r="D382" s="400" t="s">
        <v>952</v>
      </c>
      <c r="E382" s="419">
        <v>-58197826</v>
      </c>
    </row>
    <row r="383" spans="1:5" ht="15">
      <c r="A383" s="402">
        <v>300051</v>
      </c>
      <c r="B383" s="402">
        <v>8000</v>
      </c>
      <c r="C383" s="402" t="s">
        <v>721</v>
      </c>
      <c r="D383" s="400" t="s">
        <v>953</v>
      </c>
      <c r="E383" s="419">
        <v>-2708180</v>
      </c>
    </row>
    <row r="384" spans="1:5" ht="15">
      <c r="A384" s="402">
        <v>300052</v>
      </c>
      <c r="B384" s="402">
        <v>8000</v>
      </c>
      <c r="C384" s="402" t="s">
        <v>721</v>
      </c>
      <c r="D384" s="400" t="s">
        <v>954</v>
      </c>
      <c r="E384" s="419">
        <v>-615000</v>
      </c>
    </row>
    <row r="385" spans="1:5" ht="15">
      <c r="A385" s="402">
        <v>300060</v>
      </c>
      <c r="B385" s="402">
        <v>8000</v>
      </c>
      <c r="C385" s="402" t="s">
        <v>721</v>
      </c>
      <c r="D385" s="400" t="s">
        <v>955</v>
      </c>
      <c r="E385" s="419">
        <v>-307661100</v>
      </c>
    </row>
    <row r="386" spans="1:5" ht="15">
      <c r="A386" s="402">
        <v>300070</v>
      </c>
      <c r="B386" s="402">
        <v>8000</v>
      </c>
      <c r="C386" s="402" t="s">
        <v>721</v>
      </c>
      <c r="D386" s="400" t="s">
        <v>956</v>
      </c>
      <c r="E386" s="419">
        <v>-115493438.5</v>
      </c>
    </row>
    <row r="387" spans="1:5" ht="15">
      <c r="A387" s="402">
        <v>310010</v>
      </c>
      <c r="B387" s="402">
        <v>8000</v>
      </c>
      <c r="C387" s="402" t="s">
        <v>721</v>
      </c>
      <c r="D387" s="400" t="s">
        <v>957</v>
      </c>
      <c r="E387" s="419">
        <v>-3217</v>
      </c>
    </row>
    <row r="388" spans="1:5" ht="15">
      <c r="A388" s="402">
        <v>310010</v>
      </c>
      <c r="B388" s="402">
        <v>8100</v>
      </c>
      <c r="C388" s="402" t="s">
        <v>725</v>
      </c>
      <c r="D388" s="400" t="s">
        <v>957</v>
      </c>
      <c r="E388" s="419">
        <v>-2158</v>
      </c>
    </row>
    <row r="389" spans="1:5" ht="15">
      <c r="A389" s="402">
        <v>310020</v>
      </c>
      <c r="B389" s="402">
        <v>8000</v>
      </c>
      <c r="C389" s="402" t="s">
        <v>721</v>
      </c>
      <c r="D389" s="400" t="s">
        <v>958</v>
      </c>
      <c r="E389" s="419">
        <v>-68496478</v>
      </c>
    </row>
    <row r="390" spans="1:5" ht="15">
      <c r="A390" s="402">
        <v>320030</v>
      </c>
      <c r="B390" s="402">
        <v>8000</v>
      </c>
      <c r="C390" s="402" t="s">
        <v>721</v>
      </c>
      <c r="D390" s="400" t="s">
        <v>959</v>
      </c>
      <c r="E390" s="419">
        <v>-1171318.81</v>
      </c>
    </row>
    <row r="391" spans="1:5" ht="15">
      <c r="A391" s="402">
        <v>325010</v>
      </c>
      <c r="B391" s="402">
        <v>8000</v>
      </c>
      <c r="C391" s="402" t="s">
        <v>721</v>
      </c>
      <c r="D391" s="400" t="s">
        <v>960</v>
      </c>
      <c r="E391" s="419">
        <v>-49867.360000000001</v>
      </c>
    </row>
    <row r="392" spans="1:5" ht="15">
      <c r="A392" s="402">
        <v>325010</v>
      </c>
      <c r="B392" s="402">
        <v>8100</v>
      </c>
      <c r="C392" s="402" t="s">
        <v>725</v>
      </c>
      <c r="D392" s="400" t="s">
        <v>960</v>
      </c>
      <c r="E392" s="419">
        <v>0</v>
      </c>
    </row>
    <row r="393" spans="1:5" ht="15">
      <c r="A393" s="402">
        <v>330010</v>
      </c>
      <c r="B393" s="402">
        <v>8000</v>
      </c>
      <c r="C393" s="402" t="s">
        <v>721</v>
      </c>
      <c r="D393" s="400" t="s">
        <v>961</v>
      </c>
      <c r="E393" s="419">
        <v>0</v>
      </c>
    </row>
    <row r="394" spans="1:5" ht="15">
      <c r="A394" s="402">
        <v>330010</v>
      </c>
      <c r="B394" s="402">
        <v>8100</v>
      </c>
      <c r="C394" s="402" t="s">
        <v>725</v>
      </c>
      <c r="D394" s="400" t="s">
        <v>961</v>
      </c>
      <c r="E394" s="419">
        <v>0</v>
      </c>
    </row>
    <row r="395" spans="1:5" ht="15">
      <c r="A395" s="402">
        <v>340010</v>
      </c>
      <c r="B395" s="402">
        <v>8000</v>
      </c>
      <c r="C395" s="402" t="s">
        <v>721</v>
      </c>
      <c r="D395" s="400" t="s">
        <v>962</v>
      </c>
      <c r="E395" s="419">
        <v>-58500</v>
      </c>
    </row>
    <row r="396" spans="1:5" ht="15">
      <c r="A396" s="402">
        <v>340010</v>
      </c>
      <c r="B396" s="402">
        <v>8100</v>
      </c>
      <c r="C396" s="402" t="s">
        <v>725</v>
      </c>
      <c r="D396" s="400" t="s">
        <v>962</v>
      </c>
      <c r="E396" s="419">
        <v>-14500</v>
      </c>
    </row>
    <row r="397" spans="1:5" ht="15">
      <c r="A397" s="402">
        <v>350010</v>
      </c>
      <c r="B397" s="402">
        <v>8000</v>
      </c>
      <c r="C397" s="402" t="s">
        <v>721</v>
      </c>
      <c r="D397" s="400" t="s">
        <v>963</v>
      </c>
      <c r="E397" s="419">
        <v>0</v>
      </c>
    </row>
    <row r="398" spans="1:5" ht="15">
      <c r="A398" s="402">
        <v>380040</v>
      </c>
      <c r="B398" s="402">
        <v>8000</v>
      </c>
      <c r="C398" s="402" t="s">
        <v>721</v>
      </c>
      <c r="D398" s="400" t="s">
        <v>964</v>
      </c>
      <c r="E398" s="419">
        <v>-4071719.59</v>
      </c>
    </row>
    <row r="399" spans="1:5" ht="15">
      <c r="A399" s="402">
        <v>380040</v>
      </c>
      <c r="B399" s="402">
        <v>8100</v>
      </c>
      <c r="C399" s="402" t="s">
        <v>725</v>
      </c>
      <c r="D399" s="400" t="s">
        <v>964</v>
      </c>
      <c r="E399" s="419">
        <v>-38542.379999999997</v>
      </c>
    </row>
    <row r="400" spans="1:5" ht="15">
      <c r="A400" s="402">
        <v>380041</v>
      </c>
      <c r="B400" s="402">
        <v>8000</v>
      </c>
      <c r="C400" s="402" t="s">
        <v>721</v>
      </c>
      <c r="D400" s="400" t="s">
        <v>965</v>
      </c>
      <c r="E400" s="419">
        <v>645318.53</v>
      </c>
    </row>
    <row r="401" spans="1:10" ht="15">
      <c r="A401" s="402">
        <v>380041</v>
      </c>
      <c r="B401" s="402">
        <v>8000</v>
      </c>
      <c r="C401" s="402" t="s">
        <v>721</v>
      </c>
      <c r="D401" s="400" t="s">
        <v>965</v>
      </c>
      <c r="E401" s="419">
        <v>-9400</v>
      </c>
    </row>
    <row r="402" spans="1:10" ht="15">
      <c r="A402" s="402">
        <v>380041</v>
      </c>
      <c r="B402" s="402">
        <v>8100</v>
      </c>
      <c r="C402" s="402" t="s">
        <v>725</v>
      </c>
      <c r="D402" s="400" t="s">
        <v>965</v>
      </c>
      <c r="E402" s="419">
        <v>0</v>
      </c>
    </row>
    <row r="403" spans="1:10" ht="15">
      <c r="A403" s="402">
        <v>380060</v>
      </c>
      <c r="B403" s="402">
        <v>8000</v>
      </c>
      <c r="C403" s="402" t="s">
        <v>721</v>
      </c>
      <c r="D403" s="400" t="s">
        <v>966</v>
      </c>
      <c r="E403" s="419">
        <v>0</v>
      </c>
    </row>
    <row r="404" spans="1:10" ht="15">
      <c r="A404" s="402">
        <v>380120</v>
      </c>
      <c r="B404" s="402">
        <v>8000</v>
      </c>
      <c r="C404" s="402" t="s">
        <v>721</v>
      </c>
      <c r="D404" s="400" t="s">
        <v>967</v>
      </c>
      <c r="E404" s="419">
        <v>-13112692.300000001</v>
      </c>
    </row>
    <row r="405" spans="1:10" ht="15">
      <c r="A405" s="402">
        <v>380142</v>
      </c>
      <c r="B405" s="402">
        <v>8000</v>
      </c>
      <c r="C405" s="402" t="s">
        <v>721</v>
      </c>
      <c r="D405" s="400" t="s">
        <v>968</v>
      </c>
      <c r="E405" s="419">
        <v>-320000</v>
      </c>
    </row>
    <row r="406" spans="1:10" ht="15">
      <c r="A406" s="402">
        <v>380143</v>
      </c>
      <c r="B406" s="402">
        <v>8000</v>
      </c>
      <c r="C406" s="402" t="s">
        <v>721</v>
      </c>
      <c r="D406" s="400" t="s">
        <v>969</v>
      </c>
      <c r="E406" s="419">
        <v>-2805000</v>
      </c>
    </row>
    <row r="407" spans="1:10" ht="15">
      <c r="A407" s="402">
        <v>380144</v>
      </c>
      <c r="B407" s="402">
        <v>8000</v>
      </c>
      <c r="C407" s="402" t="s">
        <v>721</v>
      </c>
      <c r="D407" s="400" t="s">
        <v>970</v>
      </c>
      <c r="E407" s="419">
        <v>-892.24</v>
      </c>
      <c r="G407" s="371"/>
      <c r="J407" s="380">
        <v>-492575341.35000002</v>
      </c>
    </row>
    <row r="408" spans="1:10" ht="15">
      <c r="A408" s="402">
        <v>400010</v>
      </c>
      <c r="B408" s="402">
        <v>8000</v>
      </c>
      <c r="C408" s="402" t="s">
        <v>721</v>
      </c>
      <c r="D408" s="400" t="s">
        <v>971</v>
      </c>
      <c r="E408" s="401">
        <v>23713252.16</v>
      </c>
    </row>
    <row r="409" spans="1:10" ht="15">
      <c r="A409" s="402">
        <v>400010</v>
      </c>
      <c r="B409" s="402">
        <v>8100</v>
      </c>
      <c r="C409" s="402" t="s">
        <v>725</v>
      </c>
      <c r="D409" s="400" t="s">
        <v>971</v>
      </c>
      <c r="E409" s="401">
        <v>3991371.28</v>
      </c>
    </row>
    <row r="410" spans="1:10" ht="15">
      <c r="A410" s="402">
        <v>400050</v>
      </c>
      <c r="B410" s="402">
        <v>8000</v>
      </c>
      <c r="C410" s="402" t="s">
        <v>721</v>
      </c>
      <c r="D410" s="400" t="s">
        <v>972</v>
      </c>
      <c r="E410" s="401">
        <v>0</v>
      </c>
    </row>
    <row r="411" spans="1:10" ht="15">
      <c r="A411" s="402">
        <v>400050</v>
      </c>
      <c r="B411" s="402">
        <v>8100</v>
      </c>
      <c r="C411" s="402" t="s">
        <v>725</v>
      </c>
      <c r="D411" s="400" t="s">
        <v>972</v>
      </c>
      <c r="E411" s="401">
        <v>118236</v>
      </c>
    </row>
    <row r="412" spans="1:10" ht="15">
      <c r="A412" s="402">
        <v>401010</v>
      </c>
      <c r="B412" s="402">
        <v>8000</v>
      </c>
      <c r="C412" s="402" t="s">
        <v>721</v>
      </c>
      <c r="D412" s="400" t="s">
        <v>973</v>
      </c>
      <c r="E412" s="401">
        <v>77298</v>
      </c>
    </row>
    <row r="413" spans="1:10" ht="15">
      <c r="A413" s="402">
        <v>401020</v>
      </c>
      <c r="B413" s="402">
        <v>8000</v>
      </c>
      <c r="C413" s="402" t="s">
        <v>721</v>
      </c>
      <c r="D413" s="400" t="s">
        <v>974</v>
      </c>
      <c r="E413" s="401">
        <v>0</v>
      </c>
    </row>
    <row r="414" spans="1:10" ht="15">
      <c r="A414" s="402">
        <v>402010</v>
      </c>
      <c r="B414" s="402">
        <v>8000</v>
      </c>
      <c r="C414" s="402" t="s">
        <v>721</v>
      </c>
      <c r="D414" s="400" t="s">
        <v>975</v>
      </c>
      <c r="E414" s="401">
        <v>2795907.65</v>
      </c>
    </row>
    <row r="415" spans="1:10" ht="15">
      <c r="A415" s="402">
        <v>402010</v>
      </c>
      <c r="B415" s="402">
        <v>8100</v>
      </c>
      <c r="C415" s="402" t="s">
        <v>725</v>
      </c>
      <c r="D415" s="400" t="s">
        <v>975</v>
      </c>
      <c r="E415" s="401">
        <v>246074.84</v>
      </c>
    </row>
    <row r="416" spans="1:10" ht="15">
      <c r="A416" s="402">
        <v>402100</v>
      </c>
      <c r="B416" s="402">
        <v>8000</v>
      </c>
      <c r="C416" s="402" t="s">
        <v>721</v>
      </c>
      <c r="D416" s="400" t="s">
        <v>976</v>
      </c>
      <c r="E416" s="401">
        <v>0</v>
      </c>
    </row>
    <row r="417" spans="1:5" ht="15">
      <c r="A417" s="402">
        <v>410010</v>
      </c>
      <c r="B417" s="402">
        <v>8000</v>
      </c>
      <c r="C417" s="402" t="s">
        <v>721</v>
      </c>
      <c r="D417" s="400" t="s">
        <v>977</v>
      </c>
      <c r="E417" s="382">
        <v>92461468</v>
      </c>
    </row>
    <row r="418" spans="1:5" ht="15">
      <c r="A418" s="402">
        <v>410010</v>
      </c>
      <c r="B418" s="402">
        <v>8100</v>
      </c>
      <c r="C418" s="402" t="s">
        <v>725</v>
      </c>
      <c r="D418" s="400" t="s">
        <v>977</v>
      </c>
      <c r="E418" s="382">
        <v>29761200</v>
      </c>
    </row>
    <row r="419" spans="1:5" ht="15">
      <c r="A419" s="402">
        <v>410020</v>
      </c>
      <c r="B419" s="402">
        <v>8000</v>
      </c>
      <c r="C419" s="402" t="s">
        <v>721</v>
      </c>
      <c r="D419" s="400" t="s">
        <v>978</v>
      </c>
      <c r="E419" s="382">
        <v>8100</v>
      </c>
    </row>
    <row r="420" spans="1:5" ht="15">
      <c r="A420" s="402">
        <v>410030</v>
      </c>
      <c r="B420" s="402">
        <v>8000</v>
      </c>
      <c r="C420" s="402" t="s">
        <v>721</v>
      </c>
      <c r="D420" s="400" t="s">
        <v>979</v>
      </c>
      <c r="E420" s="382">
        <v>42772599</v>
      </c>
    </row>
    <row r="421" spans="1:5" ht="15">
      <c r="A421" s="402">
        <v>410030</v>
      </c>
      <c r="B421" s="402">
        <v>8100</v>
      </c>
      <c r="C421" s="402" t="s">
        <v>725</v>
      </c>
      <c r="D421" s="400" t="s">
        <v>979</v>
      </c>
      <c r="E421" s="382">
        <v>13625217</v>
      </c>
    </row>
    <row r="422" spans="1:5" ht="15">
      <c r="A422" s="402">
        <v>410031</v>
      </c>
      <c r="B422" s="402">
        <v>8000</v>
      </c>
      <c r="C422" s="402" t="s">
        <v>721</v>
      </c>
      <c r="D422" s="400" t="s">
        <v>980</v>
      </c>
      <c r="E422" s="382">
        <v>0</v>
      </c>
    </row>
    <row r="423" spans="1:5" ht="15">
      <c r="A423" s="402">
        <v>410031</v>
      </c>
      <c r="B423" s="402">
        <v>8100</v>
      </c>
      <c r="C423" s="402" t="s">
        <v>725</v>
      </c>
      <c r="D423" s="400" t="s">
        <v>980</v>
      </c>
      <c r="E423" s="382">
        <v>0</v>
      </c>
    </row>
    <row r="424" spans="1:5" ht="15">
      <c r="A424" s="402">
        <v>410050</v>
      </c>
      <c r="B424" s="402">
        <v>8000</v>
      </c>
      <c r="C424" s="402" t="s">
        <v>721</v>
      </c>
      <c r="D424" s="400" t="s">
        <v>981</v>
      </c>
      <c r="E424" s="382">
        <v>1535531</v>
      </c>
    </row>
    <row r="425" spans="1:5" ht="15">
      <c r="A425" s="402">
        <v>410050</v>
      </c>
      <c r="B425" s="402">
        <v>8100</v>
      </c>
      <c r="C425" s="402" t="s">
        <v>725</v>
      </c>
      <c r="D425" s="400" t="s">
        <v>981</v>
      </c>
      <c r="E425" s="382">
        <v>570655</v>
      </c>
    </row>
    <row r="426" spans="1:5" ht="15">
      <c r="A426" s="402">
        <v>410060</v>
      </c>
      <c r="B426" s="402">
        <v>8000</v>
      </c>
      <c r="C426" s="402" t="s">
        <v>721</v>
      </c>
      <c r="D426" s="400" t="s">
        <v>982</v>
      </c>
      <c r="E426" s="382">
        <v>1774061</v>
      </c>
    </row>
    <row r="427" spans="1:5" ht="15">
      <c r="A427" s="402">
        <v>410060</v>
      </c>
      <c r="B427" s="402">
        <v>8100</v>
      </c>
      <c r="C427" s="402" t="s">
        <v>725</v>
      </c>
      <c r="D427" s="400" t="s">
        <v>982</v>
      </c>
      <c r="E427" s="382">
        <v>341167</v>
      </c>
    </row>
    <row r="428" spans="1:5" ht="15">
      <c r="A428" s="402">
        <v>410061</v>
      </c>
      <c r="B428" s="402">
        <v>8000</v>
      </c>
      <c r="C428" s="402" t="s">
        <v>721</v>
      </c>
      <c r="D428" s="400" t="s">
        <v>983</v>
      </c>
      <c r="E428" s="382">
        <v>690983</v>
      </c>
    </row>
    <row r="429" spans="1:5" ht="15">
      <c r="A429" s="402">
        <v>410061</v>
      </c>
      <c r="B429" s="402">
        <v>8100</v>
      </c>
      <c r="C429" s="402" t="s">
        <v>725</v>
      </c>
      <c r="D429" s="400" t="s">
        <v>983</v>
      </c>
      <c r="E429" s="382">
        <v>130685</v>
      </c>
    </row>
    <row r="430" spans="1:5" ht="15">
      <c r="A430" s="402">
        <v>410070</v>
      </c>
      <c r="B430" s="402">
        <v>8000</v>
      </c>
      <c r="C430" s="402" t="s">
        <v>721</v>
      </c>
      <c r="D430" s="400" t="s">
        <v>984</v>
      </c>
      <c r="E430" s="382">
        <v>946604</v>
      </c>
    </row>
    <row r="431" spans="1:5" ht="15">
      <c r="A431" s="402">
        <v>410070</v>
      </c>
      <c r="B431" s="402">
        <v>8100</v>
      </c>
      <c r="C431" s="402" t="s">
        <v>725</v>
      </c>
      <c r="D431" s="400" t="s">
        <v>984</v>
      </c>
      <c r="E431" s="382">
        <v>305419</v>
      </c>
    </row>
    <row r="432" spans="1:5" ht="15">
      <c r="A432" s="402">
        <v>410080</v>
      </c>
      <c r="B432" s="402">
        <v>8000</v>
      </c>
      <c r="C432" s="402" t="s">
        <v>721</v>
      </c>
      <c r="D432" s="400" t="s">
        <v>985</v>
      </c>
      <c r="E432" s="382">
        <v>718714</v>
      </c>
    </row>
    <row r="433" spans="1:5" ht="15">
      <c r="A433" s="402">
        <v>410080</v>
      </c>
      <c r="B433" s="402">
        <v>8100</v>
      </c>
      <c r="C433" s="402" t="s">
        <v>725</v>
      </c>
      <c r="D433" s="400" t="s">
        <v>985</v>
      </c>
      <c r="E433" s="382">
        <v>227709</v>
      </c>
    </row>
    <row r="434" spans="1:5" ht="15">
      <c r="A434" s="402">
        <v>410091</v>
      </c>
      <c r="B434" s="402">
        <v>8000</v>
      </c>
      <c r="C434" s="402" t="s">
        <v>721</v>
      </c>
      <c r="D434" s="400" t="s">
        <v>986</v>
      </c>
      <c r="E434" s="382">
        <v>1600</v>
      </c>
    </row>
    <row r="435" spans="1:5" ht="15">
      <c r="A435" s="402">
        <v>410091</v>
      </c>
      <c r="B435" s="402">
        <v>8100</v>
      </c>
      <c r="C435" s="402" t="s">
        <v>725</v>
      </c>
      <c r="D435" s="400" t="s">
        <v>986</v>
      </c>
      <c r="E435" s="382">
        <v>1201</v>
      </c>
    </row>
    <row r="436" spans="1:5" ht="15">
      <c r="A436" s="402">
        <v>410093</v>
      </c>
      <c r="B436" s="402">
        <v>8000</v>
      </c>
      <c r="C436" s="402" t="s">
        <v>721</v>
      </c>
      <c r="D436" s="400" t="s">
        <v>987</v>
      </c>
      <c r="E436" s="382">
        <v>67745</v>
      </c>
    </row>
    <row r="437" spans="1:5" ht="15">
      <c r="A437" s="402">
        <v>410096</v>
      </c>
      <c r="B437" s="402">
        <v>8000</v>
      </c>
      <c r="C437" s="402" t="s">
        <v>721</v>
      </c>
      <c r="D437" s="400" t="s">
        <v>988</v>
      </c>
      <c r="E437" s="382">
        <v>1717974</v>
      </c>
    </row>
    <row r="438" spans="1:5" ht="15">
      <c r="A438" s="402">
        <v>410096</v>
      </c>
      <c r="B438" s="402">
        <v>8100</v>
      </c>
      <c r="C438" s="402" t="s">
        <v>725</v>
      </c>
      <c r="D438" s="400" t="s">
        <v>988</v>
      </c>
      <c r="E438" s="382">
        <v>790466</v>
      </c>
    </row>
    <row r="439" spans="1:5" ht="15">
      <c r="A439" s="402">
        <v>410098</v>
      </c>
      <c r="B439" s="402">
        <v>8000</v>
      </c>
      <c r="C439" s="402" t="s">
        <v>721</v>
      </c>
      <c r="D439" s="400" t="s">
        <v>989</v>
      </c>
      <c r="E439" s="382">
        <v>388020</v>
      </c>
    </row>
    <row r="440" spans="1:5" ht="15">
      <c r="A440" s="402">
        <v>410098</v>
      </c>
      <c r="B440" s="402">
        <v>8100</v>
      </c>
      <c r="C440" s="402" t="s">
        <v>725</v>
      </c>
      <c r="D440" s="400" t="s">
        <v>989</v>
      </c>
      <c r="E440" s="382">
        <v>230460</v>
      </c>
    </row>
    <row r="441" spans="1:5" ht="15">
      <c r="A441" s="402">
        <v>410100</v>
      </c>
      <c r="B441" s="402">
        <v>8000</v>
      </c>
      <c r="C441" s="402" t="s">
        <v>721</v>
      </c>
      <c r="D441" s="400" t="s">
        <v>990</v>
      </c>
      <c r="E441" s="382">
        <v>55412</v>
      </c>
    </row>
    <row r="442" spans="1:5" ht="15">
      <c r="A442" s="402">
        <v>410100</v>
      </c>
      <c r="B442" s="402">
        <v>8100</v>
      </c>
      <c r="C442" s="402" t="s">
        <v>725</v>
      </c>
      <c r="D442" s="400" t="s">
        <v>990</v>
      </c>
      <c r="E442" s="382">
        <v>5276</v>
      </c>
    </row>
    <row r="443" spans="1:5" ht="15">
      <c r="A443" s="402">
        <v>410110</v>
      </c>
      <c r="B443" s="402">
        <v>8000</v>
      </c>
      <c r="C443" s="402" t="s">
        <v>721</v>
      </c>
      <c r="D443" s="400" t="s">
        <v>991</v>
      </c>
      <c r="E443" s="382">
        <v>1531</v>
      </c>
    </row>
    <row r="444" spans="1:5" ht="15">
      <c r="A444" s="402">
        <v>410110</v>
      </c>
      <c r="B444" s="402">
        <v>8100</v>
      </c>
      <c r="C444" s="402" t="s">
        <v>725</v>
      </c>
      <c r="D444" s="400" t="s">
        <v>991</v>
      </c>
      <c r="E444" s="382">
        <v>1201</v>
      </c>
    </row>
    <row r="445" spans="1:5" ht="15">
      <c r="A445" s="402">
        <v>410120</v>
      </c>
      <c r="B445" s="402">
        <v>8000</v>
      </c>
      <c r="C445" s="402" t="s">
        <v>721</v>
      </c>
      <c r="D445" s="400" t="s">
        <v>992</v>
      </c>
      <c r="E445" s="382">
        <v>4289</v>
      </c>
    </row>
    <row r="446" spans="1:5" ht="15">
      <c r="A446" s="402">
        <v>410120</v>
      </c>
      <c r="B446" s="402">
        <v>8100</v>
      </c>
      <c r="C446" s="402" t="s">
        <v>725</v>
      </c>
      <c r="D446" s="400" t="s">
        <v>992</v>
      </c>
      <c r="E446" s="382">
        <v>3361</v>
      </c>
    </row>
    <row r="447" spans="1:5" ht="15">
      <c r="A447" s="402">
        <v>410130</v>
      </c>
      <c r="B447" s="402">
        <v>8000</v>
      </c>
      <c r="C447" s="402" t="s">
        <v>721</v>
      </c>
      <c r="D447" s="400" t="s">
        <v>993</v>
      </c>
      <c r="E447" s="382">
        <v>277755</v>
      </c>
    </row>
    <row r="448" spans="1:5" ht="15">
      <c r="A448" s="402">
        <v>410130</v>
      </c>
      <c r="B448" s="402">
        <v>8100</v>
      </c>
      <c r="C448" s="402" t="s">
        <v>725</v>
      </c>
      <c r="D448" s="400" t="s">
        <v>993</v>
      </c>
      <c r="E448" s="382">
        <v>106712</v>
      </c>
    </row>
    <row r="449" spans="1:5" ht="15">
      <c r="A449" s="402">
        <v>410140</v>
      </c>
      <c r="B449" s="402">
        <v>8000</v>
      </c>
      <c r="C449" s="402" t="s">
        <v>721</v>
      </c>
      <c r="D449" s="400" t="s">
        <v>994</v>
      </c>
      <c r="E449" s="382">
        <v>16986294</v>
      </c>
    </row>
    <row r="450" spans="1:5" ht="15">
      <c r="A450" s="402">
        <v>410140</v>
      </c>
      <c r="B450" s="402">
        <v>8100</v>
      </c>
      <c r="C450" s="402" t="s">
        <v>725</v>
      </c>
      <c r="D450" s="400" t="s">
        <v>994</v>
      </c>
      <c r="E450" s="382">
        <v>5417579</v>
      </c>
    </row>
    <row r="451" spans="1:5" ht="15">
      <c r="A451" s="402">
        <v>410150</v>
      </c>
      <c r="B451" s="402">
        <v>8000</v>
      </c>
      <c r="C451" s="402" t="s">
        <v>721</v>
      </c>
      <c r="D451" s="400" t="s">
        <v>995</v>
      </c>
      <c r="E451" s="382">
        <v>301087</v>
      </c>
    </row>
    <row r="452" spans="1:5" ht="15">
      <c r="A452" s="402">
        <v>410150</v>
      </c>
      <c r="B452" s="402">
        <v>8100</v>
      </c>
      <c r="C452" s="402" t="s">
        <v>725</v>
      </c>
      <c r="D452" s="400" t="s">
        <v>995</v>
      </c>
      <c r="E452" s="382">
        <v>82476</v>
      </c>
    </row>
    <row r="453" spans="1:5" ht="15">
      <c r="A453" s="402">
        <v>410161</v>
      </c>
      <c r="B453" s="402">
        <v>8000</v>
      </c>
      <c r="C453" s="402" t="s">
        <v>721</v>
      </c>
      <c r="D453" s="400" t="s">
        <v>996</v>
      </c>
      <c r="E453" s="382">
        <v>1039495</v>
      </c>
    </row>
    <row r="454" spans="1:5" ht="15">
      <c r="A454" s="402">
        <v>410161</v>
      </c>
      <c r="B454" s="402">
        <v>8100</v>
      </c>
      <c r="C454" s="402" t="s">
        <v>725</v>
      </c>
      <c r="D454" s="400" t="s">
        <v>996</v>
      </c>
      <c r="E454" s="382">
        <v>368271</v>
      </c>
    </row>
    <row r="455" spans="1:5" ht="15">
      <c r="A455" s="402">
        <v>410162</v>
      </c>
      <c r="B455" s="402">
        <v>8000</v>
      </c>
      <c r="C455" s="402" t="s">
        <v>721</v>
      </c>
      <c r="D455" s="400" t="s">
        <v>997</v>
      </c>
      <c r="E455" s="382">
        <v>110508</v>
      </c>
    </row>
    <row r="456" spans="1:5" ht="15">
      <c r="A456" s="402">
        <v>410162</v>
      </c>
      <c r="B456" s="402">
        <v>8100</v>
      </c>
      <c r="C456" s="402" t="s">
        <v>725</v>
      </c>
      <c r="D456" s="400" t="s">
        <v>997</v>
      </c>
      <c r="E456" s="382">
        <v>27269</v>
      </c>
    </row>
    <row r="457" spans="1:5" ht="15">
      <c r="A457" s="402">
        <v>410163</v>
      </c>
      <c r="B457" s="402">
        <v>8000</v>
      </c>
      <c r="C457" s="402" t="s">
        <v>721</v>
      </c>
      <c r="D457" s="400" t="s">
        <v>998</v>
      </c>
      <c r="E457" s="382">
        <v>8000</v>
      </c>
    </row>
    <row r="458" spans="1:5" ht="15">
      <c r="A458" s="402">
        <v>410163</v>
      </c>
      <c r="B458" s="402">
        <v>8100</v>
      </c>
      <c r="C458" s="402" t="s">
        <v>725</v>
      </c>
      <c r="D458" s="400" t="s">
        <v>998</v>
      </c>
      <c r="E458" s="382">
        <v>5999</v>
      </c>
    </row>
    <row r="459" spans="1:5" ht="15">
      <c r="A459" s="402">
        <v>410170</v>
      </c>
      <c r="B459" s="402">
        <v>8000</v>
      </c>
      <c r="C459" s="402" t="s">
        <v>721</v>
      </c>
      <c r="D459" s="400" t="s">
        <v>999</v>
      </c>
      <c r="E459" s="382">
        <v>643126</v>
      </c>
    </row>
    <row r="460" spans="1:5" ht="15">
      <c r="A460" s="402">
        <v>410170</v>
      </c>
      <c r="B460" s="402">
        <v>8100</v>
      </c>
      <c r="C460" s="402" t="s">
        <v>725</v>
      </c>
      <c r="D460" s="400" t="s">
        <v>999</v>
      </c>
      <c r="E460" s="382">
        <v>203165</v>
      </c>
    </row>
    <row r="461" spans="1:5" ht="15">
      <c r="A461" s="402">
        <v>410200</v>
      </c>
      <c r="B461" s="402">
        <v>8000</v>
      </c>
      <c r="C461" s="402" t="s">
        <v>721</v>
      </c>
      <c r="D461" s="400" t="s">
        <v>1000</v>
      </c>
      <c r="E461" s="382">
        <v>243256</v>
      </c>
    </row>
    <row r="462" spans="1:5" ht="15">
      <c r="A462" s="402">
        <v>410200</v>
      </c>
      <c r="B462" s="402">
        <v>8100</v>
      </c>
      <c r="C462" s="402" t="s">
        <v>725</v>
      </c>
      <c r="D462" s="400" t="s">
        <v>1000</v>
      </c>
      <c r="E462" s="382">
        <v>32147</v>
      </c>
    </row>
    <row r="463" spans="1:5" ht="15">
      <c r="A463" s="402">
        <v>410220</v>
      </c>
      <c r="B463" s="402">
        <v>8000</v>
      </c>
      <c r="C463" s="402" t="s">
        <v>721</v>
      </c>
      <c r="D463" s="400" t="s">
        <v>1001</v>
      </c>
      <c r="E463" s="382">
        <v>11500</v>
      </c>
    </row>
    <row r="464" spans="1:5" ht="15">
      <c r="A464" s="402">
        <v>410240</v>
      </c>
      <c r="B464" s="402">
        <v>8000</v>
      </c>
      <c r="C464" s="402" t="s">
        <v>721</v>
      </c>
      <c r="D464" s="400" t="s">
        <v>138</v>
      </c>
      <c r="E464" s="382">
        <v>789330</v>
      </c>
    </row>
    <row r="465" spans="1:5" ht="15">
      <c r="A465" s="402">
        <v>410240</v>
      </c>
      <c r="B465" s="402">
        <v>8100</v>
      </c>
      <c r="C465" s="402" t="s">
        <v>725</v>
      </c>
      <c r="D465" s="400" t="s">
        <v>138</v>
      </c>
      <c r="E465" s="382">
        <v>347203</v>
      </c>
    </row>
    <row r="466" spans="1:5" ht="15">
      <c r="A466" s="402">
        <v>410250</v>
      </c>
      <c r="B466" s="402">
        <v>8000</v>
      </c>
      <c r="C466" s="402" t="s">
        <v>721</v>
      </c>
      <c r="D466" s="400" t="s">
        <v>1002</v>
      </c>
      <c r="E466" s="382">
        <v>771987</v>
      </c>
    </row>
    <row r="467" spans="1:5" ht="15">
      <c r="A467" s="402">
        <v>410250</v>
      </c>
      <c r="B467" s="402">
        <v>8100</v>
      </c>
      <c r="C467" s="402" t="s">
        <v>725</v>
      </c>
      <c r="D467" s="400" t="s">
        <v>1002</v>
      </c>
      <c r="E467" s="382">
        <v>67406</v>
      </c>
    </row>
    <row r="468" spans="1:5" ht="15">
      <c r="A468" s="402">
        <v>410280</v>
      </c>
      <c r="B468" s="402">
        <v>8000</v>
      </c>
      <c r="C468" s="402" t="s">
        <v>721</v>
      </c>
      <c r="D468" s="400" t="s">
        <v>1003</v>
      </c>
      <c r="E468" s="382">
        <v>885414</v>
      </c>
    </row>
    <row r="469" spans="1:5" ht="15">
      <c r="A469" s="402">
        <v>410280</v>
      </c>
      <c r="B469" s="402">
        <v>8100</v>
      </c>
      <c r="C469" s="402" t="s">
        <v>725</v>
      </c>
      <c r="D469" s="400" t="s">
        <v>1003</v>
      </c>
      <c r="E469" s="382">
        <v>164933</v>
      </c>
    </row>
    <row r="470" spans="1:5" ht="15">
      <c r="A470" s="402">
        <v>420010</v>
      </c>
      <c r="B470" s="402">
        <v>8000</v>
      </c>
      <c r="C470" s="402" t="s">
        <v>721</v>
      </c>
      <c r="D470" s="400" t="s">
        <v>142</v>
      </c>
      <c r="E470" s="382">
        <v>24890</v>
      </c>
    </row>
    <row r="471" spans="1:5" ht="15">
      <c r="A471" s="402">
        <v>420020</v>
      </c>
      <c r="B471" s="402">
        <v>8000</v>
      </c>
      <c r="C471" s="402" t="s">
        <v>721</v>
      </c>
      <c r="D471" s="400" t="s">
        <v>1004</v>
      </c>
      <c r="E471" s="382">
        <v>254080</v>
      </c>
    </row>
    <row r="472" spans="1:5" ht="15">
      <c r="A472" s="402">
        <v>420020</v>
      </c>
      <c r="B472" s="402">
        <v>8100</v>
      </c>
      <c r="C472" s="402" t="s">
        <v>725</v>
      </c>
      <c r="D472" s="400" t="s">
        <v>1004</v>
      </c>
      <c r="E472" s="382">
        <v>265321</v>
      </c>
    </row>
    <row r="473" spans="1:5" ht="15">
      <c r="A473" s="402">
        <v>421010</v>
      </c>
      <c r="B473" s="402">
        <v>8000</v>
      </c>
      <c r="C473" s="402" t="s">
        <v>721</v>
      </c>
      <c r="D473" s="400" t="s">
        <v>1005</v>
      </c>
      <c r="E473" s="382">
        <v>569584</v>
      </c>
    </row>
    <row r="474" spans="1:5" ht="15">
      <c r="A474" s="402">
        <v>421021</v>
      </c>
      <c r="B474" s="402">
        <v>8000</v>
      </c>
      <c r="C474" s="402" t="s">
        <v>721</v>
      </c>
      <c r="D474" s="400" t="s">
        <v>1006</v>
      </c>
      <c r="E474" s="382">
        <v>1500000</v>
      </c>
    </row>
    <row r="475" spans="1:5" ht="15">
      <c r="A475" s="402">
        <v>421030</v>
      </c>
      <c r="B475" s="402">
        <v>8000</v>
      </c>
      <c r="C475" s="402" t="s">
        <v>721</v>
      </c>
      <c r="D475" s="400" t="s">
        <v>1007</v>
      </c>
      <c r="E475" s="382">
        <v>0</v>
      </c>
    </row>
    <row r="476" spans="1:5" ht="15">
      <c r="A476" s="402">
        <v>421040</v>
      </c>
      <c r="B476" s="402">
        <v>8000</v>
      </c>
      <c r="C476" s="402" t="s">
        <v>721</v>
      </c>
      <c r="D476" s="400" t="s">
        <v>1008</v>
      </c>
      <c r="E476" s="382">
        <v>828</v>
      </c>
    </row>
    <row r="477" spans="1:5" ht="15">
      <c r="A477" s="402">
        <v>421040</v>
      </c>
      <c r="B477" s="402">
        <v>8100</v>
      </c>
      <c r="C477" s="402" t="s">
        <v>725</v>
      </c>
      <c r="D477" s="400" t="s">
        <v>1008</v>
      </c>
      <c r="E477" s="382">
        <v>216</v>
      </c>
    </row>
    <row r="478" spans="1:5" ht="15">
      <c r="A478" s="402">
        <v>422040</v>
      </c>
      <c r="B478" s="402">
        <v>8000</v>
      </c>
      <c r="C478" s="402" t="s">
        <v>721</v>
      </c>
      <c r="D478" s="400" t="s">
        <v>1009</v>
      </c>
      <c r="E478" s="382">
        <v>10926</v>
      </c>
    </row>
    <row r="479" spans="1:5" ht="15">
      <c r="A479" s="402">
        <v>422040</v>
      </c>
      <c r="B479" s="402">
        <v>8100</v>
      </c>
      <c r="C479" s="402" t="s">
        <v>725</v>
      </c>
      <c r="D479" s="400" t="s">
        <v>1009</v>
      </c>
      <c r="E479" s="382">
        <v>2200</v>
      </c>
    </row>
    <row r="480" spans="1:5" ht="15">
      <c r="A480" s="402">
        <v>422060</v>
      </c>
      <c r="B480" s="402">
        <v>8000</v>
      </c>
      <c r="C480" s="402" t="s">
        <v>721</v>
      </c>
      <c r="D480" s="400" t="s">
        <v>1010</v>
      </c>
      <c r="E480" s="382">
        <v>39800</v>
      </c>
    </row>
    <row r="481" spans="1:10" ht="15">
      <c r="A481" s="402">
        <v>422060</v>
      </c>
      <c r="B481" s="402">
        <v>8100</v>
      </c>
      <c r="C481" s="402" t="s">
        <v>725</v>
      </c>
      <c r="D481" s="400" t="s">
        <v>1010</v>
      </c>
      <c r="E481" s="382">
        <v>15000</v>
      </c>
    </row>
    <row r="482" spans="1:10" ht="15">
      <c r="A482" s="402">
        <v>422070</v>
      </c>
      <c r="B482" s="402">
        <v>8000</v>
      </c>
      <c r="C482" s="402" t="s">
        <v>721</v>
      </c>
      <c r="D482" s="400" t="s">
        <v>1011</v>
      </c>
      <c r="E482" s="382">
        <v>672134</v>
      </c>
    </row>
    <row r="483" spans="1:10" ht="15">
      <c r="A483" s="402">
        <v>422070</v>
      </c>
      <c r="B483" s="402">
        <v>8100</v>
      </c>
      <c r="C483" s="402" t="s">
        <v>725</v>
      </c>
      <c r="D483" s="400" t="s">
        <v>1011</v>
      </c>
      <c r="E483" s="382">
        <v>577551</v>
      </c>
    </row>
    <row r="484" spans="1:10" ht="15">
      <c r="A484" s="402">
        <v>423010</v>
      </c>
      <c r="B484" s="402">
        <v>8000</v>
      </c>
      <c r="C484" s="402" t="s">
        <v>721</v>
      </c>
      <c r="D484" s="400" t="s">
        <v>1012</v>
      </c>
      <c r="E484" s="382">
        <v>1181250</v>
      </c>
    </row>
    <row r="485" spans="1:10" ht="15">
      <c r="A485" s="402">
        <v>423010</v>
      </c>
      <c r="B485" s="402">
        <v>8100</v>
      </c>
      <c r="C485" s="402" t="s">
        <v>725</v>
      </c>
      <c r="D485" s="400" t="s">
        <v>1012</v>
      </c>
      <c r="E485" s="382">
        <v>381250</v>
      </c>
    </row>
    <row r="486" spans="1:10" ht="15">
      <c r="A486" s="402">
        <v>423020</v>
      </c>
      <c r="B486" s="402">
        <v>8000</v>
      </c>
      <c r="C486" s="402" t="s">
        <v>721</v>
      </c>
      <c r="D486" s="400" t="s">
        <v>1013</v>
      </c>
      <c r="E486" s="382">
        <v>40360</v>
      </c>
    </row>
    <row r="487" spans="1:10" ht="15">
      <c r="A487" s="402">
        <v>423020</v>
      </c>
      <c r="B487" s="402">
        <v>8100</v>
      </c>
      <c r="C487" s="402" t="s">
        <v>725</v>
      </c>
      <c r="D487" s="400" t="s">
        <v>1013</v>
      </c>
      <c r="E487" s="382">
        <v>13720</v>
      </c>
    </row>
    <row r="488" spans="1:10" ht="15">
      <c r="A488" s="402">
        <v>424010</v>
      </c>
      <c r="B488" s="402">
        <v>8000</v>
      </c>
      <c r="C488" s="402" t="s">
        <v>721</v>
      </c>
      <c r="D488" s="400" t="s">
        <v>1014</v>
      </c>
      <c r="E488" s="382">
        <v>15071423</v>
      </c>
    </row>
    <row r="489" spans="1:10" ht="15">
      <c r="A489" s="402">
        <v>424010</v>
      </c>
      <c r="B489" s="402">
        <v>8100</v>
      </c>
      <c r="C489" s="402" t="s">
        <v>725</v>
      </c>
      <c r="D489" s="400" t="s">
        <v>1014</v>
      </c>
      <c r="E489" s="382">
        <v>4804973</v>
      </c>
    </row>
    <row r="490" spans="1:10" ht="15">
      <c r="A490" s="402">
        <v>424020</v>
      </c>
      <c r="B490" s="402">
        <v>8000</v>
      </c>
      <c r="C490" s="402" t="s">
        <v>721</v>
      </c>
      <c r="D490" s="400" t="s">
        <v>1015</v>
      </c>
      <c r="E490" s="382">
        <v>0</v>
      </c>
    </row>
    <row r="491" spans="1:10" ht="15">
      <c r="A491" s="402">
        <v>424030</v>
      </c>
      <c r="B491" s="402">
        <v>8000</v>
      </c>
      <c r="C491" s="402" t="s">
        <v>721</v>
      </c>
      <c r="D491" s="400" t="s">
        <v>1016</v>
      </c>
      <c r="E491" s="382">
        <v>0</v>
      </c>
      <c r="G491" s="380"/>
      <c r="J491" s="380">
        <v>243455066</v>
      </c>
    </row>
    <row r="492" spans="1:10" ht="15">
      <c r="A492" s="402">
        <v>425010</v>
      </c>
      <c r="B492" s="402">
        <v>8000</v>
      </c>
      <c r="C492" s="402" t="s">
        <v>721</v>
      </c>
      <c r="D492" s="400" t="s">
        <v>1017</v>
      </c>
      <c r="E492" s="401">
        <v>1195099</v>
      </c>
    </row>
    <row r="493" spans="1:10" ht="15">
      <c r="A493" s="402">
        <v>425010</v>
      </c>
      <c r="B493" s="402">
        <v>8100</v>
      </c>
      <c r="C493" s="402" t="s">
        <v>725</v>
      </c>
      <c r="D493" s="400" t="s">
        <v>1017</v>
      </c>
      <c r="E493" s="401">
        <v>555973</v>
      </c>
    </row>
    <row r="494" spans="1:10" ht="15">
      <c r="A494" s="402">
        <v>430010</v>
      </c>
      <c r="B494" s="402">
        <v>8000</v>
      </c>
      <c r="C494" s="402" t="s">
        <v>721</v>
      </c>
      <c r="D494" s="400" t="s">
        <v>1018</v>
      </c>
      <c r="E494" s="401">
        <v>-0.5</v>
      </c>
    </row>
    <row r="495" spans="1:10" ht="15">
      <c r="A495" s="402">
        <v>430010</v>
      </c>
      <c r="B495" s="402">
        <v>8100</v>
      </c>
      <c r="C495" s="402" t="s">
        <v>725</v>
      </c>
      <c r="D495" s="400" t="s">
        <v>1018</v>
      </c>
      <c r="E495" s="401">
        <v>0</v>
      </c>
    </row>
    <row r="496" spans="1:10" ht="15">
      <c r="A496" s="402">
        <v>430030</v>
      </c>
      <c r="B496" s="402">
        <v>8000</v>
      </c>
      <c r="C496" s="402" t="s">
        <v>721</v>
      </c>
      <c r="D496" s="400" t="s">
        <v>1019</v>
      </c>
      <c r="E496" s="401">
        <v>229402</v>
      </c>
    </row>
    <row r="497" spans="1:5" ht="15">
      <c r="A497" s="402">
        <v>430030</v>
      </c>
      <c r="B497" s="402">
        <v>8100</v>
      </c>
      <c r="C497" s="402" t="s">
        <v>725</v>
      </c>
      <c r="D497" s="400" t="s">
        <v>1019</v>
      </c>
      <c r="E497" s="401">
        <v>80433</v>
      </c>
    </row>
    <row r="498" spans="1:5" ht="15">
      <c r="A498" s="402">
        <v>430040</v>
      </c>
      <c r="B498" s="402">
        <v>8000</v>
      </c>
      <c r="C498" s="402" t="s">
        <v>721</v>
      </c>
      <c r="D498" s="400" t="s">
        <v>1020</v>
      </c>
      <c r="E498" s="401">
        <v>836778</v>
      </c>
    </row>
    <row r="499" spans="1:5" ht="15">
      <c r="A499" s="402">
        <v>430040</v>
      </c>
      <c r="B499" s="402">
        <v>8100</v>
      </c>
      <c r="C499" s="402" t="s">
        <v>725</v>
      </c>
      <c r="D499" s="400" t="s">
        <v>1020</v>
      </c>
      <c r="E499" s="401">
        <v>88139</v>
      </c>
    </row>
    <row r="500" spans="1:5" ht="15">
      <c r="A500" s="402">
        <v>430070</v>
      </c>
      <c r="B500" s="402">
        <v>8000</v>
      </c>
      <c r="C500" s="402" t="s">
        <v>721</v>
      </c>
      <c r="D500" s="400" t="s">
        <v>1021</v>
      </c>
      <c r="E500" s="401">
        <v>607538</v>
      </c>
    </row>
    <row r="501" spans="1:5" ht="15">
      <c r="A501" s="402">
        <v>430070</v>
      </c>
      <c r="B501" s="402">
        <v>8100</v>
      </c>
      <c r="C501" s="402" t="s">
        <v>725</v>
      </c>
      <c r="D501" s="400" t="s">
        <v>1021</v>
      </c>
      <c r="E501" s="401">
        <v>318163.40000000002</v>
      </c>
    </row>
    <row r="502" spans="1:5" ht="15">
      <c r="A502" s="402">
        <v>430100</v>
      </c>
      <c r="B502" s="402">
        <v>8000</v>
      </c>
      <c r="C502" s="402" t="s">
        <v>721</v>
      </c>
      <c r="D502" s="400" t="s">
        <v>1022</v>
      </c>
      <c r="E502" s="401">
        <v>19635764.16</v>
      </c>
    </row>
    <row r="503" spans="1:5" ht="15">
      <c r="A503" s="402">
        <v>430100</v>
      </c>
      <c r="B503" s="402">
        <v>8100</v>
      </c>
      <c r="C503" s="402" t="s">
        <v>725</v>
      </c>
      <c r="D503" s="400" t="s">
        <v>1022</v>
      </c>
      <c r="E503" s="401">
        <v>266955</v>
      </c>
    </row>
    <row r="504" spans="1:5" ht="15">
      <c r="A504" s="402">
        <v>430110</v>
      </c>
      <c r="B504" s="402">
        <v>8000</v>
      </c>
      <c r="C504" s="402" t="s">
        <v>721</v>
      </c>
      <c r="D504" s="400" t="s">
        <v>1023</v>
      </c>
      <c r="E504" s="401">
        <v>17788987.079999998</v>
      </c>
    </row>
    <row r="505" spans="1:5" ht="15">
      <c r="A505" s="402">
        <v>430110</v>
      </c>
      <c r="B505" s="402">
        <v>8100</v>
      </c>
      <c r="C505" s="402" t="s">
        <v>725</v>
      </c>
      <c r="D505" s="400" t="s">
        <v>1023</v>
      </c>
      <c r="E505" s="401">
        <v>1990010.67</v>
      </c>
    </row>
    <row r="506" spans="1:5" ht="15">
      <c r="A506" s="402">
        <v>431010</v>
      </c>
      <c r="B506" s="402">
        <v>8000</v>
      </c>
      <c r="C506" s="402" t="s">
        <v>721</v>
      </c>
      <c r="D506" s="400" t="s">
        <v>1024</v>
      </c>
      <c r="E506" s="401">
        <v>1049030.74</v>
      </c>
    </row>
    <row r="507" spans="1:5" ht="15">
      <c r="A507" s="402">
        <v>431030</v>
      </c>
      <c r="B507" s="402">
        <v>8000</v>
      </c>
      <c r="C507" s="402" t="s">
        <v>721</v>
      </c>
      <c r="D507" s="400" t="s">
        <v>1025</v>
      </c>
      <c r="E507" s="401">
        <v>6690.6</v>
      </c>
    </row>
    <row r="508" spans="1:5" ht="15">
      <c r="A508" s="402">
        <v>431030</v>
      </c>
      <c r="B508" s="402">
        <v>8100</v>
      </c>
      <c r="C508" s="402" t="s">
        <v>725</v>
      </c>
      <c r="D508" s="400" t="s">
        <v>1025</v>
      </c>
      <c r="E508" s="401">
        <v>0</v>
      </c>
    </row>
    <row r="509" spans="1:5" ht="15">
      <c r="A509" s="402">
        <v>431040</v>
      </c>
      <c r="B509" s="402">
        <v>8000</v>
      </c>
      <c r="C509" s="402" t="s">
        <v>721</v>
      </c>
      <c r="D509" s="400" t="s">
        <v>1026</v>
      </c>
      <c r="E509" s="401">
        <v>0</v>
      </c>
    </row>
    <row r="510" spans="1:5" ht="15">
      <c r="A510" s="402">
        <v>431050</v>
      </c>
      <c r="B510" s="402">
        <v>8000</v>
      </c>
      <c r="C510" s="402" t="s">
        <v>721</v>
      </c>
      <c r="D510" s="400" t="s">
        <v>1027</v>
      </c>
      <c r="E510" s="401">
        <v>6484100</v>
      </c>
    </row>
    <row r="511" spans="1:5" ht="15">
      <c r="A511" s="402">
        <v>435010</v>
      </c>
      <c r="B511" s="402">
        <v>8000</v>
      </c>
      <c r="C511" s="402" t="s">
        <v>721</v>
      </c>
      <c r="D511" s="400" t="s">
        <v>1028</v>
      </c>
      <c r="E511" s="401">
        <v>0</v>
      </c>
    </row>
    <row r="512" spans="1:5" ht="15">
      <c r="A512" s="402">
        <v>440010</v>
      </c>
      <c r="B512" s="402">
        <v>8000</v>
      </c>
      <c r="C512" s="402" t="s">
        <v>721</v>
      </c>
      <c r="D512" s="400" t="s">
        <v>1029</v>
      </c>
      <c r="E512" s="401">
        <v>113024580</v>
      </c>
    </row>
    <row r="513" spans="1:5" ht="15">
      <c r="A513" s="402">
        <v>440030</v>
      </c>
      <c r="B513" s="402">
        <v>8000</v>
      </c>
      <c r="C513" s="402" t="s">
        <v>721</v>
      </c>
      <c r="D513" s="400" t="s">
        <v>190</v>
      </c>
      <c r="E513" s="401">
        <v>225599</v>
      </c>
    </row>
    <row r="514" spans="1:5" ht="15">
      <c r="A514" s="402">
        <v>440030</v>
      </c>
      <c r="B514" s="402">
        <v>8100</v>
      </c>
      <c r="C514" s="402" t="s">
        <v>725</v>
      </c>
      <c r="D514" s="400" t="s">
        <v>190</v>
      </c>
      <c r="E514" s="401">
        <v>45109</v>
      </c>
    </row>
    <row r="515" spans="1:5" ht="15">
      <c r="A515" s="402">
        <v>440040</v>
      </c>
      <c r="B515" s="402">
        <v>8100</v>
      </c>
      <c r="C515" s="402" t="s">
        <v>725</v>
      </c>
      <c r="D515" s="400" t="s">
        <v>1030</v>
      </c>
      <c r="E515" s="401">
        <v>0</v>
      </c>
    </row>
    <row r="516" spans="1:5" ht="15">
      <c r="A516" s="402">
        <v>440050</v>
      </c>
      <c r="B516" s="402">
        <v>8000</v>
      </c>
      <c r="C516" s="402" t="s">
        <v>721</v>
      </c>
      <c r="D516" s="400" t="s">
        <v>184</v>
      </c>
      <c r="E516" s="401">
        <v>31475380</v>
      </c>
    </row>
    <row r="517" spans="1:5" ht="15">
      <c r="A517" s="402">
        <v>440050</v>
      </c>
      <c r="B517" s="402">
        <v>8100</v>
      </c>
      <c r="C517" s="402" t="s">
        <v>725</v>
      </c>
      <c r="D517" s="400" t="s">
        <v>184</v>
      </c>
      <c r="E517" s="401">
        <v>6517700</v>
      </c>
    </row>
    <row r="518" spans="1:5" ht="15">
      <c r="A518" s="402">
        <v>440060</v>
      </c>
      <c r="B518" s="402">
        <v>8000</v>
      </c>
      <c r="C518" s="402" t="s">
        <v>721</v>
      </c>
      <c r="D518" s="400" t="s">
        <v>1031</v>
      </c>
      <c r="E518" s="401">
        <v>773919</v>
      </c>
    </row>
    <row r="519" spans="1:5" ht="15">
      <c r="A519" s="402">
        <v>440060</v>
      </c>
      <c r="B519" s="402">
        <v>8100</v>
      </c>
      <c r="C519" s="402" t="s">
        <v>725</v>
      </c>
      <c r="D519" s="400" t="s">
        <v>1031</v>
      </c>
      <c r="E519" s="401">
        <v>46658</v>
      </c>
    </row>
    <row r="520" spans="1:5" ht="15">
      <c r="A520" s="402">
        <v>440070</v>
      </c>
      <c r="B520" s="402">
        <v>8000</v>
      </c>
      <c r="C520" s="402" t="s">
        <v>721</v>
      </c>
      <c r="D520" s="400" t="s">
        <v>1032</v>
      </c>
      <c r="E520" s="401">
        <v>-590</v>
      </c>
    </row>
    <row r="521" spans="1:5" ht="15">
      <c r="A521" s="402">
        <v>440080</v>
      </c>
      <c r="B521" s="402">
        <v>8000</v>
      </c>
      <c r="C521" s="402" t="s">
        <v>721</v>
      </c>
      <c r="D521" s="400" t="s">
        <v>1033</v>
      </c>
      <c r="E521" s="401">
        <v>490079</v>
      </c>
    </row>
    <row r="522" spans="1:5" ht="15">
      <c r="A522" s="402">
        <v>440080</v>
      </c>
      <c r="B522" s="402">
        <v>8100</v>
      </c>
      <c r="C522" s="402" t="s">
        <v>725</v>
      </c>
      <c r="D522" s="400" t="s">
        <v>1033</v>
      </c>
      <c r="E522" s="401">
        <v>0</v>
      </c>
    </row>
    <row r="523" spans="1:5" ht="15">
      <c r="A523" s="402">
        <v>440090</v>
      </c>
      <c r="B523" s="402">
        <v>8000</v>
      </c>
      <c r="C523" s="402" t="s">
        <v>721</v>
      </c>
      <c r="D523" s="400" t="s">
        <v>1034</v>
      </c>
      <c r="E523" s="401">
        <v>5102469.38</v>
      </c>
    </row>
    <row r="524" spans="1:5" ht="15">
      <c r="A524" s="402">
        <v>440090</v>
      </c>
      <c r="B524" s="402">
        <v>8100</v>
      </c>
      <c r="C524" s="402" t="s">
        <v>725</v>
      </c>
      <c r="D524" s="400" t="s">
        <v>1034</v>
      </c>
      <c r="E524" s="401">
        <v>2813498.33</v>
      </c>
    </row>
    <row r="525" spans="1:5" ht="15">
      <c r="A525" s="402">
        <v>440100</v>
      </c>
      <c r="B525" s="402">
        <v>8000</v>
      </c>
      <c r="C525" s="402" t="s">
        <v>721</v>
      </c>
      <c r="D525" s="400" t="s">
        <v>1035</v>
      </c>
      <c r="E525" s="401">
        <v>7237359.5899999999</v>
      </c>
    </row>
    <row r="526" spans="1:5" ht="15">
      <c r="A526" s="402">
        <v>440100</v>
      </c>
      <c r="B526" s="402">
        <v>8100</v>
      </c>
      <c r="C526" s="402" t="s">
        <v>725</v>
      </c>
      <c r="D526" s="400" t="s">
        <v>1035</v>
      </c>
      <c r="E526" s="401">
        <v>6032893</v>
      </c>
    </row>
    <row r="527" spans="1:5" ht="15">
      <c r="A527" s="402">
        <v>440110</v>
      </c>
      <c r="B527" s="402">
        <v>8000</v>
      </c>
      <c r="C527" s="402" t="s">
        <v>721</v>
      </c>
      <c r="D527" s="400" t="s">
        <v>1036</v>
      </c>
      <c r="E527" s="401">
        <v>0</v>
      </c>
    </row>
    <row r="528" spans="1:5" ht="15">
      <c r="A528" s="402">
        <v>440111</v>
      </c>
      <c r="B528" s="402">
        <v>8000</v>
      </c>
      <c r="C528" s="402" t="s">
        <v>721</v>
      </c>
      <c r="D528" s="400" t="s">
        <v>1037</v>
      </c>
      <c r="E528" s="401">
        <v>1244</v>
      </c>
    </row>
    <row r="529" spans="1:11" ht="15">
      <c r="A529" s="402">
        <v>440170</v>
      </c>
      <c r="B529" s="402">
        <v>8000</v>
      </c>
      <c r="C529" s="402" t="s">
        <v>721</v>
      </c>
      <c r="D529" s="400" t="s">
        <v>1038</v>
      </c>
      <c r="E529" s="401">
        <v>1483200</v>
      </c>
    </row>
    <row r="530" spans="1:11" ht="15">
      <c r="A530" s="402">
        <v>443010</v>
      </c>
      <c r="B530" s="402">
        <v>8000</v>
      </c>
      <c r="C530" s="402" t="s">
        <v>721</v>
      </c>
      <c r="D530" s="400" t="s">
        <v>1039</v>
      </c>
      <c r="E530" s="401">
        <v>632039</v>
      </c>
    </row>
    <row r="531" spans="1:11" ht="15">
      <c r="A531" s="402">
        <v>443030</v>
      </c>
      <c r="B531" s="402">
        <v>8000</v>
      </c>
      <c r="C531" s="402" t="s">
        <v>721</v>
      </c>
      <c r="D531" s="400" t="s">
        <v>1040</v>
      </c>
      <c r="E531" s="401">
        <v>0</v>
      </c>
    </row>
    <row r="532" spans="1:11" ht="15">
      <c r="A532" s="402">
        <v>443030</v>
      </c>
      <c r="B532" s="402">
        <v>8100</v>
      </c>
      <c r="C532" s="402" t="s">
        <v>725</v>
      </c>
      <c r="D532" s="400" t="s">
        <v>1040</v>
      </c>
      <c r="E532" s="401">
        <v>966209.24</v>
      </c>
    </row>
    <row r="533" spans="1:11" ht="15">
      <c r="A533" s="402">
        <v>444010</v>
      </c>
      <c r="B533" s="402">
        <v>8000</v>
      </c>
      <c r="C533" s="402" t="s">
        <v>721</v>
      </c>
      <c r="D533" s="400" t="s">
        <v>1041</v>
      </c>
      <c r="E533" s="401">
        <v>-2434976.54</v>
      </c>
    </row>
    <row r="534" spans="1:11" ht="15">
      <c r="A534" s="402">
        <v>444010</v>
      </c>
      <c r="B534" s="402">
        <v>8100</v>
      </c>
      <c r="C534" s="402" t="s">
        <v>725</v>
      </c>
      <c r="D534" s="400" t="s">
        <v>1041</v>
      </c>
      <c r="E534" s="401">
        <v>171125</v>
      </c>
    </row>
    <row r="535" spans="1:11" ht="15">
      <c r="A535" s="402">
        <v>447040</v>
      </c>
      <c r="B535" s="402">
        <v>8000</v>
      </c>
      <c r="C535" s="402" t="s">
        <v>721</v>
      </c>
      <c r="D535" s="400" t="s">
        <v>1042</v>
      </c>
      <c r="E535" s="401">
        <v>-3443636.9</v>
      </c>
      <c r="G535" s="380"/>
      <c r="H535" s="380"/>
      <c r="J535" s="380">
        <v>222292921.25000003</v>
      </c>
      <c r="K535" s="380">
        <v>222295485.82000002</v>
      </c>
    </row>
    <row r="536" spans="1:11" ht="15">
      <c r="A536" s="402">
        <v>450010</v>
      </c>
      <c r="B536" s="402">
        <v>8000</v>
      </c>
      <c r="C536" s="402" t="s">
        <v>721</v>
      </c>
      <c r="D536" s="400" t="s">
        <v>1043</v>
      </c>
      <c r="E536" s="401">
        <v>915900.87</v>
      </c>
    </row>
    <row r="537" spans="1:11" ht="15">
      <c r="A537" s="402">
        <v>450010</v>
      </c>
      <c r="B537" s="402">
        <v>8100</v>
      </c>
      <c r="C537" s="402" t="s">
        <v>725</v>
      </c>
      <c r="D537" s="400" t="s">
        <v>1043</v>
      </c>
      <c r="E537" s="401">
        <v>661045.30000000005</v>
      </c>
    </row>
    <row r="538" spans="1:11" ht="15">
      <c r="A538" s="402">
        <v>450020</v>
      </c>
      <c r="B538" s="402">
        <v>8000</v>
      </c>
      <c r="C538" s="402" t="s">
        <v>721</v>
      </c>
      <c r="D538" s="400" t="s">
        <v>1044</v>
      </c>
      <c r="E538" s="401">
        <v>7283537.1699999999</v>
      </c>
    </row>
    <row r="539" spans="1:11" ht="15">
      <c r="A539" s="402">
        <v>450020</v>
      </c>
      <c r="B539" s="402">
        <v>8100</v>
      </c>
      <c r="C539" s="402" t="s">
        <v>725</v>
      </c>
      <c r="D539" s="400" t="s">
        <v>1044</v>
      </c>
      <c r="E539" s="401">
        <v>1306602.6299999999</v>
      </c>
    </row>
    <row r="540" spans="1:11" ht="15">
      <c r="A540" s="402">
        <v>450030</v>
      </c>
      <c r="B540" s="402">
        <v>8000</v>
      </c>
      <c r="C540" s="402" t="s">
        <v>721</v>
      </c>
      <c r="D540" s="400" t="s">
        <v>1045</v>
      </c>
      <c r="E540" s="401">
        <v>357.56</v>
      </c>
    </row>
    <row r="541" spans="1:11" ht="15">
      <c r="A541" s="402">
        <v>450030</v>
      </c>
      <c r="B541" s="402">
        <v>8100</v>
      </c>
      <c r="C541" s="402" t="s">
        <v>725</v>
      </c>
      <c r="D541" s="400" t="s">
        <v>1045</v>
      </c>
      <c r="E541" s="401">
        <v>1985.88</v>
      </c>
    </row>
    <row r="542" spans="1:11" ht="15">
      <c r="A542" s="402">
        <v>450040</v>
      </c>
      <c r="B542" s="402">
        <v>8000</v>
      </c>
      <c r="C542" s="402" t="s">
        <v>721</v>
      </c>
      <c r="D542" s="400" t="s">
        <v>1046</v>
      </c>
      <c r="E542" s="401">
        <v>17651.009999999998</v>
      </c>
    </row>
    <row r="543" spans="1:11" ht="15">
      <c r="A543" s="402">
        <v>450040</v>
      </c>
      <c r="B543" s="402">
        <v>8100</v>
      </c>
      <c r="C543" s="402" t="s">
        <v>725</v>
      </c>
      <c r="D543" s="400" t="s">
        <v>1046</v>
      </c>
      <c r="E543" s="401">
        <v>45788.19</v>
      </c>
    </row>
    <row r="544" spans="1:11" ht="15">
      <c r="A544" s="402">
        <v>450050</v>
      </c>
      <c r="B544" s="402">
        <v>8000</v>
      </c>
      <c r="C544" s="402" t="s">
        <v>721</v>
      </c>
      <c r="D544" s="400" t="s">
        <v>1047</v>
      </c>
      <c r="E544" s="401">
        <v>73149.11</v>
      </c>
    </row>
    <row r="545" spans="1:5" ht="15">
      <c r="A545" s="402">
        <v>450060</v>
      </c>
      <c r="B545" s="402">
        <v>8000</v>
      </c>
      <c r="C545" s="402" t="s">
        <v>721</v>
      </c>
      <c r="D545" s="400" t="s">
        <v>1048</v>
      </c>
      <c r="E545" s="401">
        <v>236210.95</v>
      </c>
    </row>
    <row r="546" spans="1:5" ht="15">
      <c r="A546" s="402">
        <v>450070</v>
      </c>
      <c r="B546" s="402">
        <v>8000</v>
      </c>
      <c r="C546" s="402" t="s">
        <v>721</v>
      </c>
      <c r="D546" s="400" t="s">
        <v>1049</v>
      </c>
      <c r="E546" s="401">
        <v>-307540.13</v>
      </c>
    </row>
    <row r="547" spans="1:5" ht="15">
      <c r="A547" s="402">
        <v>450070</v>
      </c>
      <c r="B547" s="402">
        <v>8100</v>
      </c>
      <c r="C547" s="402" t="s">
        <v>725</v>
      </c>
      <c r="D547" s="400" t="s">
        <v>1049</v>
      </c>
      <c r="E547" s="401">
        <v>267130.53000000003</v>
      </c>
    </row>
    <row r="548" spans="1:5" ht="15">
      <c r="A548" s="402">
        <v>450080</v>
      </c>
      <c r="B548" s="402">
        <v>8000</v>
      </c>
      <c r="C548" s="402" t="s">
        <v>721</v>
      </c>
      <c r="D548" s="400" t="s">
        <v>1050</v>
      </c>
      <c r="E548" s="401">
        <v>8867709.9100000001</v>
      </c>
    </row>
    <row r="549" spans="1:5" ht="15">
      <c r="A549" s="402">
        <v>450080</v>
      </c>
      <c r="B549" s="402">
        <v>8100</v>
      </c>
      <c r="C549" s="402" t="s">
        <v>725</v>
      </c>
      <c r="D549" s="400" t="s">
        <v>1050</v>
      </c>
      <c r="E549" s="401">
        <v>134815.26999999999</v>
      </c>
    </row>
    <row r="550" spans="1:5" ht="15">
      <c r="A550" s="402">
        <v>450140</v>
      </c>
      <c r="B550" s="402">
        <v>8000</v>
      </c>
      <c r="C550" s="402" t="s">
        <v>721</v>
      </c>
      <c r="D550" s="400" t="s">
        <v>1051</v>
      </c>
      <c r="E550" s="401">
        <v>-93483.26</v>
      </c>
    </row>
    <row r="551" spans="1:5" ht="15">
      <c r="A551" s="402">
        <v>450170</v>
      </c>
      <c r="B551" s="402">
        <v>8000</v>
      </c>
      <c r="C551" s="402" t="s">
        <v>721</v>
      </c>
      <c r="D551" s="400" t="s">
        <v>1052</v>
      </c>
      <c r="E551" s="401">
        <v>6759.85</v>
      </c>
    </row>
    <row r="552" spans="1:5" ht="15">
      <c r="A552" s="402">
        <v>450190</v>
      </c>
      <c r="B552" s="402">
        <v>8000</v>
      </c>
      <c r="C552" s="402" t="s">
        <v>721</v>
      </c>
      <c r="D552" s="400" t="s">
        <v>1053</v>
      </c>
      <c r="E552" s="401">
        <v>4556629.08</v>
      </c>
    </row>
    <row r="553" spans="1:5" ht="15">
      <c r="A553" s="402">
        <v>450190</v>
      </c>
      <c r="B553" s="402">
        <v>8100</v>
      </c>
      <c r="C553" s="402" t="s">
        <v>725</v>
      </c>
      <c r="D553" s="400" t="s">
        <v>1053</v>
      </c>
      <c r="E553" s="401">
        <v>723044.65</v>
      </c>
    </row>
    <row r="554" spans="1:5" ht="15">
      <c r="A554" s="402">
        <v>453010</v>
      </c>
      <c r="B554" s="402">
        <v>8000</v>
      </c>
      <c r="C554" s="402" t="s">
        <v>721</v>
      </c>
      <c r="D554" s="400" t="s">
        <v>1054</v>
      </c>
      <c r="E554" s="401">
        <v>6891560.21</v>
      </c>
    </row>
    <row r="555" spans="1:5" ht="15">
      <c r="A555" s="402">
        <v>472080</v>
      </c>
      <c r="B555" s="402">
        <v>8000</v>
      </c>
      <c r="C555" s="402" t="s">
        <v>721</v>
      </c>
      <c r="D555" s="400" t="s">
        <v>1055</v>
      </c>
      <c r="E555" s="401">
        <v>509488</v>
      </c>
    </row>
    <row r="556" spans="1:5" ht="15">
      <c r="A556" s="402">
        <v>473010</v>
      </c>
      <c r="B556" s="402">
        <v>8000</v>
      </c>
      <c r="C556" s="402" t="s">
        <v>721</v>
      </c>
      <c r="D556" s="400" t="s">
        <v>202</v>
      </c>
      <c r="E556" s="401">
        <v>1950.97</v>
      </c>
    </row>
    <row r="557" spans="1:5" ht="15">
      <c r="A557" s="402">
        <v>473010</v>
      </c>
      <c r="B557" s="402">
        <v>8100</v>
      </c>
      <c r="C557" s="402" t="s">
        <v>725</v>
      </c>
      <c r="D557" s="400" t="s">
        <v>202</v>
      </c>
      <c r="E557" s="401">
        <v>613.6</v>
      </c>
    </row>
    <row r="558" spans="1:5" ht="15">
      <c r="A558" s="402">
        <v>474030</v>
      </c>
      <c r="B558" s="402">
        <v>8000</v>
      </c>
      <c r="C558" s="402" t="s">
        <v>721</v>
      </c>
      <c r="D558" s="400" t="s">
        <v>1056</v>
      </c>
      <c r="E558" s="401">
        <v>-4582100</v>
      </c>
    </row>
    <row r="559" spans="1:5" ht="15">
      <c r="A559" s="402">
        <v>475110</v>
      </c>
      <c r="B559" s="402">
        <v>8000</v>
      </c>
      <c r="C559" s="402" t="s">
        <v>721</v>
      </c>
      <c r="D559" s="400" t="s">
        <v>1057</v>
      </c>
      <c r="E559" s="401">
        <v>0</v>
      </c>
    </row>
    <row r="560" spans="1:5" ht="15">
      <c r="A560" s="402">
        <v>475110</v>
      </c>
      <c r="B560" s="402">
        <v>8100</v>
      </c>
      <c r="C560" s="402" t="s">
        <v>725</v>
      </c>
      <c r="D560" s="400" t="s">
        <v>1057</v>
      </c>
      <c r="E560" s="401">
        <v>0</v>
      </c>
    </row>
    <row r="561" spans="1:12" ht="15">
      <c r="A561" s="402">
        <v>475181</v>
      </c>
      <c r="B561" s="402">
        <v>8100</v>
      </c>
      <c r="C561" s="402" t="s">
        <v>725</v>
      </c>
      <c r="D561" s="400" t="s">
        <v>1058</v>
      </c>
      <c r="E561" s="401">
        <v>114</v>
      </c>
    </row>
    <row r="562" spans="1:12" ht="15">
      <c r="A562" s="402">
        <v>475192</v>
      </c>
      <c r="B562" s="402">
        <v>8000</v>
      </c>
      <c r="C562" s="402" t="s">
        <v>721</v>
      </c>
      <c r="D562" s="400" t="s">
        <v>1059</v>
      </c>
      <c r="E562" s="401">
        <v>0</v>
      </c>
    </row>
    <row r="563" spans="1:12" ht="15">
      <c r="A563" s="402">
        <v>476030</v>
      </c>
      <c r="B563" s="402">
        <v>8000</v>
      </c>
      <c r="C563" s="402" t="s">
        <v>721</v>
      </c>
      <c r="D563" s="400" t="s">
        <v>1060</v>
      </c>
      <c r="E563" s="401">
        <v>-491.52</v>
      </c>
    </row>
    <row r="564" spans="1:12" ht="15">
      <c r="A564" s="402">
        <v>476030</v>
      </c>
      <c r="B564" s="402">
        <v>8100</v>
      </c>
      <c r="C564" s="402" t="s">
        <v>725</v>
      </c>
      <c r="D564" s="400" t="s">
        <v>1060</v>
      </c>
      <c r="E564" s="401">
        <v>-0.84</v>
      </c>
    </row>
    <row r="565" spans="1:12" ht="15">
      <c r="A565" s="402">
        <v>500005</v>
      </c>
      <c r="B565" s="402">
        <v>8000</v>
      </c>
      <c r="C565" s="402" t="s">
        <v>721</v>
      </c>
      <c r="D565" s="400" t="s">
        <v>1061</v>
      </c>
      <c r="E565" s="401">
        <v>0</v>
      </c>
    </row>
    <row r="566" spans="1:12" ht="15">
      <c r="A566" s="402">
        <v>500005</v>
      </c>
      <c r="B566" s="402">
        <v>8100</v>
      </c>
      <c r="C566" s="402" t="s">
        <v>725</v>
      </c>
      <c r="D566" s="400" t="s">
        <v>1061</v>
      </c>
      <c r="E566" s="401">
        <v>0</v>
      </c>
    </row>
    <row r="567" spans="1:12" ht="15">
      <c r="A567" s="402">
        <v>500022</v>
      </c>
      <c r="B567" s="402">
        <v>8000</v>
      </c>
      <c r="C567" s="402" t="s">
        <v>721</v>
      </c>
      <c r="D567" s="400" t="s">
        <v>1062</v>
      </c>
      <c r="E567" s="401">
        <v>-39349547</v>
      </c>
    </row>
    <row r="568" spans="1:12" ht="15">
      <c r="A568" s="402">
        <v>500022</v>
      </c>
      <c r="B568" s="402">
        <v>8100</v>
      </c>
      <c r="C568" s="402" t="s">
        <v>725</v>
      </c>
      <c r="D568" s="400" t="s">
        <v>1062</v>
      </c>
      <c r="E568" s="401">
        <v>-13230541</v>
      </c>
    </row>
    <row r="570" spans="1:12" ht="15">
      <c r="A570" s="399"/>
      <c r="B570" s="399"/>
      <c r="C570" s="399"/>
      <c r="D570" s="399"/>
      <c r="E570" s="405">
        <f>SUM(E4:E568)</f>
        <v>-3.3527612686157227E-7</v>
      </c>
    </row>
    <row r="572" spans="1:12">
      <c r="A572" s="390" t="s">
        <v>1073</v>
      </c>
      <c r="B572" s="390" t="s">
        <v>1074</v>
      </c>
      <c r="C572" s="390" t="s">
        <v>1075</v>
      </c>
      <c r="D572" s="390" t="s">
        <v>1076</v>
      </c>
      <c r="E572" s="390" t="s">
        <v>1077</v>
      </c>
      <c r="F572" s="390" t="s">
        <v>1078</v>
      </c>
      <c r="G572" s="390" t="s">
        <v>1079</v>
      </c>
      <c r="H572" s="390" t="s">
        <v>4</v>
      </c>
      <c r="I572" s="390" t="s">
        <v>1114</v>
      </c>
    </row>
    <row r="573" spans="1:12" ht="15">
      <c r="A573" s="385">
        <v>440010</v>
      </c>
      <c r="B573" s="385" t="s">
        <v>1115</v>
      </c>
      <c r="C573" s="385">
        <v>100001274</v>
      </c>
      <c r="D573" s="384">
        <v>45017</v>
      </c>
      <c r="E573" s="384">
        <v>45017</v>
      </c>
      <c r="F573" s="396">
        <v>-19317276</v>
      </c>
      <c r="G573" s="385" t="s">
        <v>1199</v>
      </c>
      <c r="H573" s="385" t="s">
        <v>1115</v>
      </c>
      <c r="I573" s="385">
        <v>150030</v>
      </c>
      <c r="K573" s="378" t="s">
        <v>1188</v>
      </c>
      <c r="L573" s="378"/>
    </row>
    <row r="574" spans="1:12" ht="15">
      <c r="A574" s="385">
        <v>440010</v>
      </c>
      <c r="B574" s="385" t="s">
        <v>1116</v>
      </c>
      <c r="C574" s="385">
        <v>100017461</v>
      </c>
      <c r="D574" s="384">
        <v>45049</v>
      </c>
      <c r="E574" s="384">
        <v>45049</v>
      </c>
      <c r="F574" s="396">
        <v>5513611</v>
      </c>
      <c r="G574" s="385" t="s">
        <v>1117</v>
      </c>
      <c r="H574" s="385" t="s">
        <v>1118</v>
      </c>
      <c r="I574" s="385">
        <v>285039</v>
      </c>
      <c r="K574" s="378" t="s">
        <v>1188</v>
      </c>
    </row>
    <row r="575" spans="1:12">
      <c r="A575" s="385">
        <v>440010</v>
      </c>
      <c r="B575" s="385" t="s">
        <v>1119</v>
      </c>
      <c r="C575" s="385">
        <v>100032093</v>
      </c>
      <c r="D575" s="384">
        <v>45075</v>
      </c>
      <c r="E575" s="384">
        <v>45075</v>
      </c>
      <c r="F575" s="396">
        <v>13803665</v>
      </c>
      <c r="G575" s="385" t="s">
        <v>1120</v>
      </c>
      <c r="H575" s="385" t="s">
        <v>1121</v>
      </c>
      <c r="I575" s="385">
        <v>285039</v>
      </c>
      <c r="K575" t="s">
        <v>1188</v>
      </c>
      <c r="L575" s="394" t="s">
        <v>1191</v>
      </c>
    </row>
    <row r="576" spans="1:12">
      <c r="A576" s="385">
        <v>440010</v>
      </c>
      <c r="B576" s="385" t="s">
        <v>1122</v>
      </c>
      <c r="C576" s="385">
        <v>100048022</v>
      </c>
      <c r="D576" s="384">
        <v>45099</v>
      </c>
      <c r="E576" s="384">
        <v>45099</v>
      </c>
      <c r="F576" s="396">
        <v>8661938</v>
      </c>
      <c r="G576" s="385" t="s">
        <v>1123</v>
      </c>
      <c r="H576" s="385" t="s">
        <v>1124</v>
      </c>
      <c r="I576" s="385">
        <v>285039</v>
      </c>
      <c r="K576" t="s">
        <v>1188</v>
      </c>
    </row>
    <row r="577" spans="1:12">
      <c r="A577" s="385">
        <v>440010</v>
      </c>
      <c r="B577" s="385" t="s">
        <v>1125</v>
      </c>
      <c r="C577" s="385">
        <v>100058240</v>
      </c>
      <c r="D577" s="384">
        <v>45113</v>
      </c>
      <c r="E577" s="384">
        <v>45113</v>
      </c>
      <c r="F577" s="396">
        <v>11465833</v>
      </c>
      <c r="G577" s="385" t="s">
        <v>1126</v>
      </c>
      <c r="H577" s="385" t="s">
        <v>1127</v>
      </c>
      <c r="I577" s="385">
        <v>285039</v>
      </c>
      <c r="K577" t="s">
        <v>1188</v>
      </c>
    </row>
    <row r="578" spans="1:12">
      <c r="A578" s="385">
        <v>440010</v>
      </c>
      <c r="B578" s="385" t="s">
        <v>1128</v>
      </c>
      <c r="C578" s="385">
        <v>100080867</v>
      </c>
      <c r="D578" s="384">
        <v>45141</v>
      </c>
      <c r="E578" s="384">
        <v>45141</v>
      </c>
      <c r="F578" s="396">
        <v>6984429</v>
      </c>
      <c r="G578" s="385" t="s">
        <v>1129</v>
      </c>
      <c r="H578" s="385" t="s">
        <v>1130</v>
      </c>
      <c r="I578" s="385">
        <v>285039</v>
      </c>
      <c r="K578" t="s">
        <v>1188</v>
      </c>
      <c r="L578" s="394" t="s">
        <v>1192</v>
      </c>
    </row>
    <row r="579" spans="1:12">
      <c r="A579" s="385">
        <v>440010</v>
      </c>
      <c r="B579" s="385" t="s">
        <v>1131</v>
      </c>
      <c r="C579" s="385">
        <v>100101579</v>
      </c>
      <c r="D579" s="384">
        <v>45175</v>
      </c>
      <c r="E579" s="384">
        <v>45175</v>
      </c>
      <c r="F579" s="396">
        <v>6967605</v>
      </c>
      <c r="G579" s="385" t="s">
        <v>1132</v>
      </c>
      <c r="H579" s="385" t="s">
        <v>1133</v>
      </c>
      <c r="I579" s="385">
        <v>285039</v>
      </c>
      <c r="K579" t="s">
        <v>1188</v>
      </c>
    </row>
    <row r="580" spans="1:12">
      <c r="A580" s="385">
        <v>440010</v>
      </c>
      <c r="B580" s="385" t="s">
        <v>1134</v>
      </c>
      <c r="C580" s="385">
        <v>100124756</v>
      </c>
      <c r="D580" s="384">
        <v>45205</v>
      </c>
      <c r="E580" s="384">
        <v>45205</v>
      </c>
      <c r="F580" s="396">
        <v>6923599</v>
      </c>
      <c r="G580" s="385" t="s">
        <v>1135</v>
      </c>
      <c r="H580" s="385" t="s">
        <v>1118</v>
      </c>
      <c r="I580" s="385">
        <v>285039</v>
      </c>
      <c r="K580" t="s">
        <v>1188</v>
      </c>
    </row>
    <row r="581" spans="1:12">
      <c r="A581" s="385">
        <v>440010</v>
      </c>
      <c r="B581" s="385" t="s">
        <v>1136</v>
      </c>
      <c r="C581" s="385">
        <v>100125258</v>
      </c>
      <c r="D581" s="384">
        <v>45209</v>
      </c>
      <c r="E581" s="384">
        <v>45209</v>
      </c>
      <c r="F581" s="396">
        <v>7093244</v>
      </c>
      <c r="G581" s="385" t="s">
        <v>1137</v>
      </c>
      <c r="H581" s="385" t="s">
        <v>1138</v>
      </c>
      <c r="I581" s="385">
        <v>285039</v>
      </c>
      <c r="K581" t="s">
        <v>1188</v>
      </c>
    </row>
    <row r="582" spans="1:12">
      <c r="A582" s="385">
        <v>440010</v>
      </c>
      <c r="B582" s="385" t="s">
        <v>1139</v>
      </c>
      <c r="C582" s="385">
        <v>100155424</v>
      </c>
      <c r="D582" s="384">
        <v>45250</v>
      </c>
      <c r="E582" s="384">
        <v>45250</v>
      </c>
      <c r="F582" s="396">
        <v>7231345</v>
      </c>
      <c r="G582" s="385" t="s">
        <v>1140</v>
      </c>
      <c r="H582" s="385" t="s">
        <v>1193</v>
      </c>
      <c r="I582" s="385">
        <v>285039</v>
      </c>
      <c r="K582" t="s">
        <v>1188</v>
      </c>
    </row>
    <row r="583" spans="1:12">
      <c r="A583" s="385">
        <v>440010</v>
      </c>
      <c r="B583" s="385" t="s">
        <v>1141</v>
      </c>
      <c r="C583" s="385">
        <v>100155424</v>
      </c>
      <c r="D583" s="384">
        <v>45250</v>
      </c>
      <c r="E583" s="384">
        <v>45250</v>
      </c>
      <c r="F583" s="396">
        <v>128750</v>
      </c>
      <c r="G583" s="385" t="s">
        <v>1142</v>
      </c>
      <c r="H583" s="385" t="s">
        <v>1138</v>
      </c>
      <c r="I583" s="385">
        <v>285039</v>
      </c>
      <c r="K583" t="s">
        <v>1188</v>
      </c>
    </row>
    <row r="584" spans="1:12">
      <c r="A584" s="385">
        <v>440010</v>
      </c>
      <c r="B584" s="385" t="s">
        <v>1143</v>
      </c>
      <c r="C584" s="385">
        <v>100175289</v>
      </c>
      <c r="D584" s="384">
        <v>45281</v>
      </c>
      <c r="E584" s="384">
        <v>45281</v>
      </c>
      <c r="F584" s="396">
        <v>6022663</v>
      </c>
      <c r="G584" s="385" t="s">
        <v>1144</v>
      </c>
      <c r="H584" s="385" t="s">
        <v>1145</v>
      </c>
      <c r="I584" s="385">
        <v>285039</v>
      </c>
      <c r="K584" t="s">
        <v>1188</v>
      </c>
    </row>
    <row r="585" spans="1:12">
      <c r="A585" s="385">
        <v>440010</v>
      </c>
      <c r="B585" s="385" t="s">
        <v>1146</v>
      </c>
      <c r="C585" s="385">
        <v>100215021</v>
      </c>
      <c r="D585" s="384">
        <v>45327</v>
      </c>
      <c r="E585" s="384">
        <v>45327</v>
      </c>
      <c r="F585" s="396">
        <v>7278184</v>
      </c>
      <c r="G585" s="385" t="s">
        <v>1147</v>
      </c>
      <c r="H585" s="385" t="s">
        <v>1148</v>
      </c>
      <c r="I585" s="385">
        <v>285039</v>
      </c>
      <c r="K585" t="s">
        <v>1188</v>
      </c>
    </row>
    <row r="586" spans="1:12">
      <c r="A586" s="385">
        <v>440010</v>
      </c>
      <c r="B586" s="385" t="s">
        <v>1149</v>
      </c>
      <c r="C586" s="385">
        <v>100215240</v>
      </c>
      <c r="D586" s="384">
        <v>45331</v>
      </c>
      <c r="E586" s="384">
        <v>45331</v>
      </c>
      <c r="F586" s="396">
        <v>200000</v>
      </c>
      <c r="G586" s="385" t="s">
        <v>1150</v>
      </c>
      <c r="H586" s="385" t="s">
        <v>1151</v>
      </c>
      <c r="I586" s="385">
        <v>285039</v>
      </c>
      <c r="K586" t="s">
        <v>1188</v>
      </c>
    </row>
    <row r="587" spans="1:12">
      <c r="A587" s="385">
        <v>440010</v>
      </c>
      <c r="B587" s="385" t="s">
        <v>1152</v>
      </c>
      <c r="C587" s="385">
        <v>100242130</v>
      </c>
      <c r="D587" s="384">
        <v>45352</v>
      </c>
      <c r="E587" s="384">
        <v>45352</v>
      </c>
      <c r="F587" s="396">
        <v>6992908</v>
      </c>
      <c r="G587" s="385" t="s">
        <v>1153</v>
      </c>
      <c r="H587" s="385" t="s">
        <v>1154</v>
      </c>
      <c r="I587" s="385">
        <v>285039</v>
      </c>
      <c r="K587" t="s">
        <v>1188</v>
      </c>
    </row>
    <row r="588" spans="1:12">
      <c r="A588" s="385">
        <v>440010</v>
      </c>
      <c r="B588" s="385" t="s">
        <v>1155</v>
      </c>
      <c r="C588" s="385">
        <v>100242268</v>
      </c>
      <c r="D588" s="384">
        <v>45356</v>
      </c>
      <c r="E588" s="384">
        <v>45356</v>
      </c>
      <c r="F588" s="396">
        <v>6188109</v>
      </c>
      <c r="G588" s="385" t="s">
        <v>1156</v>
      </c>
      <c r="H588" s="385" t="s">
        <v>1118</v>
      </c>
      <c r="I588" s="385">
        <v>285039</v>
      </c>
      <c r="K588" t="s">
        <v>1188</v>
      </c>
    </row>
    <row r="589" spans="1:12">
      <c r="A589" s="385">
        <v>440010</v>
      </c>
      <c r="B589" s="385" t="s">
        <v>1157</v>
      </c>
      <c r="C589" s="385">
        <v>100242277</v>
      </c>
      <c r="D589" s="384">
        <v>45356</v>
      </c>
      <c r="E589" s="384">
        <v>45356</v>
      </c>
      <c r="F589" s="396">
        <v>2200252</v>
      </c>
      <c r="G589" s="385" t="s">
        <v>1158</v>
      </c>
      <c r="H589" s="385" t="s">
        <v>1159</v>
      </c>
      <c r="I589" s="385">
        <v>285039</v>
      </c>
      <c r="K589" t="s">
        <v>1188</v>
      </c>
    </row>
    <row r="590" spans="1:12">
      <c r="A590" s="385">
        <v>440010</v>
      </c>
      <c r="B590" s="385" t="s">
        <v>1111</v>
      </c>
      <c r="C590" s="385">
        <v>100276991</v>
      </c>
      <c r="D590" s="384">
        <v>45382</v>
      </c>
      <c r="E590" s="384">
        <v>45382</v>
      </c>
      <c r="F590" s="396">
        <v>10000000</v>
      </c>
      <c r="G590" s="385" t="s">
        <v>1160</v>
      </c>
      <c r="H590" s="385" t="s">
        <v>1111</v>
      </c>
      <c r="I590" s="385">
        <v>150030</v>
      </c>
      <c r="K590" t="s">
        <v>1188</v>
      </c>
      <c r="L590" s="394" t="s">
        <v>1194</v>
      </c>
    </row>
    <row r="591" spans="1:12">
      <c r="A591" s="385">
        <v>440010</v>
      </c>
      <c r="B591" s="385" t="s">
        <v>1111</v>
      </c>
      <c r="C591" s="385">
        <v>100276991</v>
      </c>
      <c r="D591" s="384">
        <v>45382</v>
      </c>
      <c r="E591" s="384">
        <v>45382</v>
      </c>
      <c r="F591" s="396">
        <v>6188109</v>
      </c>
      <c r="G591" s="385" t="s">
        <v>1160</v>
      </c>
      <c r="H591" s="385" t="s">
        <v>1111</v>
      </c>
      <c r="I591" s="385">
        <v>150030</v>
      </c>
      <c r="K591" t="s">
        <v>1188</v>
      </c>
      <c r="L591" s="394" t="s">
        <v>1196</v>
      </c>
    </row>
    <row r="592" spans="1:12">
      <c r="A592" s="385">
        <v>440010</v>
      </c>
      <c r="B592" s="385" t="s">
        <v>1111</v>
      </c>
      <c r="C592" s="385">
        <v>100276991</v>
      </c>
      <c r="D592" s="384">
        <v>45382</v>
      </c>
      <c r="E592" s="384">
        <v>45382</v>
      </c>
      <c r="F592" s="396">
        <v>6217154</v>
      </c>
      <c r="G592" s="385" t="s">
        <v>1160</v>
      </c>
      <c r="H592" s="385" t="s">
        <v>1111</v>
      </c>
      <c r="I592" s="385">
        <v>150030</v>
      </c>
      <c r="K592" t="s">
        <v>1188</v>
      </c>
      <c r="L592" s="394" t="s">
        <v>1197</v>
      </c>
    </row>
    <row r="593" spans="1:12">
      <c r="A593" s="385">
        <v>440010</v>
      </c>
      <c r="B593" s="385" t="s">
        <v>1161</v>
      </c>
      <c r="C593" s="385">
        <v>100287351</v>
      </c>
      <c r="D593" s="384">
        <v>45382</v>
      </c>
      <c r="E593" s="384">
        <v>45382</v>
      </c>
      <c r="F593" s="396">
        <v>6188109</v>
      </c>
      <c r="G593" s="385" t="s">
        <v>1162</v>
      </c>
      <c r="H593" s="385" t="s">
        <v>1163</v>
      </c>
      <c r="I593" s="385">
        <v>440100</v>
      </c>
      <c r="K593" t="s">
        <v>1188</v>
      </c>
      <c r="L593" s="394" t="s">
        <v>1195</v>
      </c>
    </row>
    <row r="594" spans="1:12">
      <c r="A594" s="389"/>
      <c r="B594" s="389"/>
      <c r="C594" s="389"/>
      <c r="D594" s="381"/>
      <c r="E594" s="381"/>
      <c r="F594" s="408">
        <v>112932231</v>
      </c>
      <c r="G594" s="389"/>
      <c r="H594" s="389"/>
      <c r="I594" s="389"/>
    </row>
  </sheetData>
  <pageMargins left="0.7" right="0.7" top="0.75" bottom="0.75" header="0.3" footer="0.3"/>
  <pageSetup scale="79" fitToHeight="0" pageOrder="overThenDown"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K562"/>
  <sheetViews>
    <sheetView view="pageBreakPreview" zoomScale="60" workbookViewId="0">
      <selection activeCell="B563" sqref="B563"/>
    </sheetView>
  </sheetViews>
  <sheetFormatPr defaultColWidth="8.85546875" defaultRowHeight="12.75"/>
  <cols>
    <col min="1" max="1" width="19.42578125" customWidth="1"/>
    <col min="2" max="2" width="11.7109375" bestFit="1" customWidth="1"/>
    <col min="3" max="3" width="13.42578125" customWidth="1"/>
    <col min="4" max="4" width="45.140625" bestFit="1" customWidth="1"/>
    <col min="5" max="5" width="16.140625" bestFit="1" customWidth="1"/>
    <col min="6" max="6" width="14.28515625" bestFit="1" customWidth="1"/>
    <col min="7" max="7" width="44.28515625" bestFit="1" customWidth="1"/>
    <col min="8" max="8" width="13.28515625" bestFit="1" customWidth="1"/>
    <col min="10" max="10" width="16.42578125" customWidth="1"/>
    <col min="11" max="11" width="14.7109375" customWidth="1"/>
  </cols>
  <sheetData>
    <row r="1" spans="1:6" ht="15.75">
      <c r="A1" s="415" t="s">
        <v>714</v>
      </c>
      <c r="B1" s="415"/>
      <c r="C1" s="415"/>
      <c r="D1" s="415"/>
      <c r="E1" s="415"/>
      <c r="F1" s="415"/>
    </row>
    <row r="2" spans="1:6" ht="15.75">
      <c r="A2" s="416" t="s">
        <v>1065</v>
      </c>
      <c r="B2" s="416"/>
      <c r="C2" s="416"/>
      <c r="D2" s="416"/>
      <c r="E2" s="416"/>
      <c r="F2" s="415"/>
    </row>
    <row r="3" spans="1:6" ht="15">
      <c r="A3" s="414" t="s">
        <v>716</v>
      </c>
      <c r="B3" s="414" t="s">
        <v>717</v>
      </c>
      <c r="C3" s="414" t="s">
        <v>718</v>
      </c>
      <c r="D3" s="413" t="s">
        <v>719</v>
      </c>
      <c r="E3" s="414" t="s">
        <v>1066</v>
      </c>
      <c r="F3" s="417"/>
    </row>
    <row r="4" spans="1:6" ht="15">
      <c r="A4" s="411">
        <v>100020</v>
      </c>
      <c r="B4" s="411">
        <v>8000</v>
      </c>
      <c r="C4" s="411" t="s">
        <v>721</v>
      </c>
      <c r="D4" s="410" t="s">
        <v>722</v>
      </c>
      <c r="E4" s="412">
        <v>0</v>
      </c>
      <c r="F4" s="409"/>
    </row>
    <row r="5" spans="1:6" ht="15">
      <c r="A5" s="411">
        <v>100054</v>
      </c>
      <c r="B5" s="411">
        <v>8000</v>
      </c>
      <c r="C5" s="411" t="s">
        <v>721</v>
      </c>
      <c r="D5" s="410" t="s">
        <v>723</v>
      </c>
      <c r="E5" s="412">
        <v>-18954651.260000002</v>
      </c>
      <c r="F5" s="409"/>
    </row>
    <row r="6" spans="1:6" ht="15">
      <c r="A6" s="411">
        <v>101060</v>
      </c>
      <c r="B6" s="411">
        <v>8000</v>
      </c>
      <c r="C6" s="411" t="s">
        <v>721</v>
      </c>
      <c r="D6" s="410" t="s">
        <v>724</v>
      </c>
      <c r="E6" s="412">
        <v>0</v>
      </c>
      <c r="F6" s="409"/>
    </row>
    <row r="7" spans="1:6" ht="15">
      <c r="A7" s="411">
        <v>101060</v>
      </c>
      <c r="B7" s="411">
        <v>8100</v>
      </c>
      <c r="C7" s="411" t="s">
        <v>725</v>
      </c>
      <c r="D7" s="410" t="s">
        <v>724</v>
      </c>
      <c r="E7" s="412">
        <v>5000</v>
      </c>
      <c r="F7" s="409"/>
    </row>
    <row r="8" spans="1:6" ht="15">
      <c r="A8" s="411">
        <v>101070</v>
      </c>
      <c r="B8" s="411">
        <v>8000</v>
      </c>
      <c r="C8" s="411" t="s">
        <v>721</v>
      </c>
      <c r="D8" s="410" t="s">
        <v>726</v>
      </c>
      <c r="E8" s="412">
        <v>-598820285.97000003</v>
      </c>
      <c r="F8" s="409"/>
    </row>
    <row r="9" spans="1:6" ht="15">
      <c r="A9" s="411">
        <v>102010</v>
      </c>
      <c r="B9" s="411">
        <v>8000</v>
      </c>
      <c r="C9" s="411" t="s">
        <v>721</v>
      </c>
      <c r="D9" s="410" t="s">
        <v>727</v>
      </c>
      <c r="E9" s="412">
        <v>-1178117570.3599999</v>
      </c>
      <c r="F9" s="409"/>
    </row>
    <row r="10" spans="1:6" ht="15">
      <c r="A10" s="411">
        <v>102010</v>
      </c>
      <c r="B10" s="411">
        <v>8100</v>
      </c>
      <c r="C10" s="411" t="s">
        <v>725</v>
      </c>
      <c r="D10" s="410" t="s">
        <v>727</v>
      </c>
      <c r="E10" s="412">
        <v>864085166.45000005</v>
      </c>
      <c r="F10" s="409"/>
    </row>
    <row r="11" spans="1:6" ht="15">
      <c r="A11" s="411">
        <v>122010</v>
      </c>
      <c r="B11" s="411">
        <v>8000</v>
      </c>
      <c r="C11" s="411" t="s">
        <v>721</v>
      </c>
      <c r="D11" s="410" t="s">
        <v>728</v>
      </c>
      <c r="E11" s="412">
        <v>4582100</v>
      </c>
      <c r="F11" s="409"/>
    </row>
    <row r="12" spans="1:6" ht="15">
      <c r="A12" s="411">
        <v>123030</v>
      </c>
      <c r="B12" s="411">
        <v>8000</v>
      </c>
      <c r="C12" s="411" t="s">
        <v>721</v>
      </c>
      <c r="D12" s="410" t="s">
        <v>729</v>
      </c>
      <c r="E12" s="412">
        <v>-1607733.46</v>
      </c>
      <c r="F12" s="409"/>
    </row>
    <row r="13" spans="1:6" ht="15">
      <c r="A13" s="411">
        <v>123030</v>
      </c>
      <c r="B13" s="411">
        <v>8100</v>
      </c>
      <c r="C13" s="411" t="s">
        <v>725</v>
      </c>
      <c r="D13" s="410" t="s">
        <v>729</v>
      </c>
      <c r="E13" s="412">
        <v>-1088129</v>
      </c>
      <c r="F13" s="409"/>
    </row>
    <row r="14" spans="1:6" ht="15">
      <c r="A14" s="411">
        <v>123050</v>
      </c>
      <c r="B14" s="411">
        <v>8000</v>
      </c>
      <c r="C14" s="411" t="s">
        <v>721</v>
      </c>
      <c r="D14" s="410" t="s">
        <v>730</v>
      </c>
      <c r="E14" s="412">
        <v>-1857298.56</v>
      </c>
      <c r="F14" s="409"/>
    </row>
    <row r="15" spans="1:6" ht="15">
      <c r="A15" s="411">
        <v>123050</v>
      </c>
      <c r="B15" s="411">
        <v>8100</v>
      </c>
      <c r="C15" s="411" t="s">
        <v>725</v>
      </c>
      <c r="D15" s="410" t="s">
        <v>730</v>
      </c>
      <c r="E15" s="412">
        <v>-170161.14</v>
      </c>
      <c r="F15" s="409"/>
    </row>
    <row r="16" spans="1:6" ht="15">
      <c r="A16" s="411">
        <v>123060</v>
      </c>
      <c r="B16" s="411">
        <v>8000</v>
      </c>
      <c r="C16" s="411" t="s">
        <v>721</v>
      </c>
      <c r="D16" s="410" t="s">
        <v>731</v>
      </c>
      <c r="E16" s="412">
        <v>-2708080</v>
      </c>
      <c r="F16" s="409"/>
    </row>
    <row r="17" spans="1:5" ht="15">
      <c r="A17" s="411">
        <v>123060</v>
      </c>
      <c r="B17" s="411">
        <v>8100</v>
      </c>
      <c r="C17" s="411" t="s">
        <v>725</v>
      </c>
      <c r="D17" s="410" t="s">
        <v>731</v>
      </c>
      <c r="E17" s="412">
        <v>-135225</v>
      </c>
    </row>
    <row r="18" spans="1:5" ht="15">
      <c r="A18" s="411">
        <v>123070</v>
      </c>
      <c r="B18" s="411">
        <v>8000</v>
      </c>
      <c r="C18" s="411" t="s">
        <v>721</v>
      </c>
      <c r="D18" s="410" t="s">
        <v>732</v>
      </c>
      <c r="E18" s="412">
        <v>0</v>
      </c>
    </row>
    <row r="19" spans="1:5" ht="15">
      <c r="A19" s="411">
        <v>123090</v>
      </c>
      <c r="B19" s="411">
        <v>8000</v>
      </c>
      <c r="C19" s="411" t="s">
        <v>721</v>
      </c>
      <c r="D19" s="410" t="s">
        <v>733</v>
      </c>
      <c r="E19" s="412">
        <v>-1300009.23</v>
      </c>
    </row>
    <row r="20" spans="1:5" ht="15">
      <c r="A20" s="411">
        <v>123110</v>
      </c>
      <c r="B20" s="411">
        <v>8000</v>
      </c>
      <c r="C20" s="411" t="s">
        <v>721</v>
      </c>
      <c r="D20" s="410" t="s">
        <v>734</v>
      </c>
      <c r="E20" s="412">
        <v>-257714</v>
      </c>
    </row>
    <row r="21" spans="1:5" ht="15">
      <c r="A21" s="411">
        <v>123110</v>
      </c>
      <c r="B21" s="411">
        <v>8100</v>
      </c>
      <c r="C21" s="411" t="s">
        <v>725</v>
      </c>
      <c r="D21" s="410" t="s">
        <v>734</v>
      </c>
      <c r="E21" s="412">
        <v>-10257</v>
      </c>
    </row>
    <row r="22" spans="1:5" ht="15">
      <c r="A22" s="411">
        <v>130010</v>
      </c>
      <c r="B22" s="411">
        <v>8000</v>
      </c>
      <c r="C22" s="411" t="s">
        <v>721</v>
      </c>
      <c r="D22" s="410" t="s">
        <v>735</v>
      </c>
      <c r="E22" s="412">
        <v>-9932877.5800000001</v>
      </c>
    </row>
    <row r="23" spans="1:5" ht="15">
      <c r="A23" s="411">
        <v>130010</v>
      </c>
      <c r="B23" s="411">
        <v>8100</v>
      </c>
      <c r="C23" s="411" t="s">
        <v>725</v>
      </c>
      <c r="D23" s="410" t="s">
        <v>735</v>
      </c>
      <c r="E23" s="412">
        <v>-195012.46</v>
      </c>
    </row>
    <row r="24" spans="1:5" ht="15">
      <c r="A24" s="411">
        <v>130020</v>
      </c>
      <c r="B24" s="411">
        <v>8000</v>
      </c>
      <c r="C24" s="411" t="s">
        <v>721</v>
      </c>
      <c r="D24" s="410" t="s">
        <v>736</v>
      </c>
      <c r="E24" s="412">
        <v>-212325.91</v>
      </c>
    </row>
    <row r="25" spans="1:5" ht="15">
      <c r="A25" s="411">
        <v>130020</v>
      </c>
      <c r="B25" s="411">
        <v>8100</v>
      </c>
      <c r="C25" s="411" t="s">
        <v>725</v>
      </c>
      <c r="D25" s="410" t="s">
        <v>736</v>
      </c>
      <c r="E25" s="412">
        <v>-4270.88</v>
      </c>
    </row>
    <row r="26" spans="1:5" ht="15">
      <c r="A26" s="411">
        <v>131010</v>
      </c>
      <c r="B26" s="411">
        <v>8000</v>
      </c>
      <c r="C26" s="411" t="s">
        <v>721</v>
      </c>
      <c r="D26" s="410" t="s">
        <v>738</v>
      </c>
      <c r="E26" s="412">
        <v>676536.5</v>
      </c>
    </row>
    <row r="27" spans="1:5" ht="15">
      <c r="A27" s="411">
        <v>131010</v>
      </c>
      <c r="B27" s="411">
        <v>8100</v>
      </c>
      <c r="C27" s="411" t="s">
        <v>725</v>
      </c>
      <c r="D27" s="410" t="s">
        <v>738</v>
      </c>
      <c r="E27" s="412">
        <v>-187622.31</v>
      </c>
    </row>
    <row r="28" spans="1:5" ht="15">
      <c r="A28" s="411">
        <v>132010</v>
      </c>
      <c r="B28" s="411">
        <v>8000</v>
      </c>
      <c r="C28" s="411" t="s">
        <v>721</v>
      </c>
      <c r="D28" s="410" t="s">
        <v>739</v>
      </c>
      <c r="E28" s="412">
        <v>0</v>
      </c>
    </row>
    <row r="29" spans="1:5" ht="15">
      <c r="A29" s="411">
        <v>132010</v>
      </c>
      <c r="B29" s="411">
        <v>8100</v>
      </c>
      <c r="C29" s="411" t="s">
        <v>725</v>
      </c>
      <c r="D29" s="410" t="s">
        <v>739</v>
      </c>
      <c r="E29" s="412">
        <v>0</v>
      </c>
    </row>
    <row r="30" spans="1:5" ht="15">
      <c r="A30" s="411">
        <v>133010</v>
      </c>
      <c r="B30" s="411">
        <v>8000</v>
      </c>
      <c r="C30" s="411" t="s">
        <v>721</v>
      </c>
      <c r="D30" s="410" t="s">
        <v>740</v>
      </c>
      <c r="E30" s="412">
        <v>0</v>
      </c>
    </row>
    <row r="31" spans="1:5" ht="15">
      <c r="A31" s="411">
        <v>134010</v>
      </c>
      <c r="B31" s="411">
        <v>8000</v>
      </c>
      <c r="C31" s="411" t="s">
        <v>721</v>
      </c>
      <c r="D31" s="410" t="s">
        <v>741</v>
      </c>
      <c r="E31" s="412">
        <v>0</v>
      </c>
    </row>
    <row r="32" spans="1:5" ht="15">
      <c r="A32" s="411">
        <v>134010</v>
      </c>
      <c r="B32" s="411">
        <v>8100</v>
      </c>
      <c r="C32" s="411" t="s">
        <v>725</v>
      </c>
      <c r="D32" s="410" t="s">
        <v>741</v>
      </c>
      <c r="E32" s="412">
        <v>0</v>
      </c>
    </row>
    <row r="33" spans="1:5" ht="15">
      <c r="A33" s="411">
        <v>135010</v>
      </c>
      <c r="B33" s="411">
        <v>8000</v>
      </c>
      <c r="C33" s="411" t="s">
        <v>721</v>
      </c>
      <c r="D33" s="410" t="s">
        <v>742</v>
      </c>
      <c r="E33" s="412">
        <v>0</v>
      </c>
    </row>
    <row r="34" spans="1:5" ht="15">
      <c r="A34" s="411">
        <v>135010</v>
      </c>
      <c r="B34" s="411">
        <v>8100</v>
      </c>
      <c r="C34" s="411" t="s">
        <v>725</v>
      </c>
      <c r="D34" s="410" t="s">
        <v>742</v>
      </c>
      <c r="E34" s="412">
        <v>0</v>
      </c>
    </row>
    <row r="35" spans="1:5" ht="15">
      <c r="A35" s="411">
        <v>140010</v>
      </c>
      <c r="B35" s="411">
        <v>8000</v>
      </c>
      <c r="C35" s="411" t="s">
        <v>721</v>
      </c>
      <c r="D35" s="410" t="s">
        <v>743</v>
      </c>
      <c r="E35" s="412">
        <v>0</v>
      </c>
    </row>
    <row r="36" spans="1:5" ht="15">
      <c r="A36" s="411">
        <v>140020</v>
      </c>
      <c r="B36" s="411">
        <v>8000</v>
      </c>
      <c r="C36" s="411" t="s">
        <v>721</v>
      </c>
      <c r="D36" s="410" t="s">
        <v>744</v>
      </c>
      <c r="E36" s="412">
        <v>-20008887</v>
      </c>
    </row>
    <row r="37" spans="1:5" ht="15">
      <c r="A37" s="411">
        <v>140020</v>
      </c>
      <c r="B37" s="411">
        <v>8000</v>
      </c>
      <c r="C37" s="411" t="s">
        <v>721</v>
      </c>
      <c r="D37" s="410" t="s">
        <v>744</v>
      </c>
      <c r="E37" s="412">
        <v>0</v>
      </c>
    </row>
    <row r="38" spans="1:5" ht="15">
      <c r="A38" s="411">
        <v>140020</v>
      </c>
      <c r="B38" s="411">
        <v>8100</v>
      </c>
      <c r="C38" s="411" t="s">
        <v>725</v>
      </c>
      <c r="D38" s="410" t="s">
        <v>744</v>
      </c>
      <c r="E38" s="412">
        <v>-6902388</v>
      </c>
    </row>
    <row r="39" spans="1:5" ht="15">
      <c r="A39" s="411">
        <v>140030</v>
      </c>
      <c r="B39" s="411">
        <v>8000</v>
      </c>
      <c r="C39" s="411" t="s">
        <v>721</v>
      </c>
      <c r="D39" s="410" t="s">
        <v>745</v>
      </c>
      <c r="E39" s="412">
        <v>0</v>
      </c>
    </row>
    <row r="40" spans="1:5" ht="15">
      <c r="A40" s="411">
        <v>140060</v>
      </c>
      <c r="B40" s="411">
        <v>8000</v>
      </c>
      <c r="C40" s="411" t="s">
        <v>721</v>
      </c>
      <c r="D40" s="410" t="s">
        <v>746</v>
      </c>
      <c r="E40" s="412">
        <v>0</v>
      </c>
    </row>
    <row r="41" spans="1:5" ht="15">
      <c r="A41" s="411">
        <v>140070</v>
      </c>
      <c r="B41" s="411">
        <v>8000</v>
      </c>
      <c r="C41" s="411" t="s">
        <v>721</v>
      </c>
      <c r="D41" s="410" t="s">
        <v>747</v>
      </c>
      <c r="E41" s="412">
        <v>0</v>
      </c>
    </row>
    <row r="42" spans="1:5" ht="15">
      <c r="A42" s="411">
        <v>140070</v>
      </c>
      <c r="B42" s="411">
        <v>8000</v>
      </c>
      <c r="C42" s="411" t="s">
        <v>721</v>
      </c>
      <c r="D42" s="410" t="s">
        <v>747</v>
      </c>
      <c r="E42" s="412">
        <v>0</v>
      </c>
    </row>
    <row r="43" spans="1:5" ht="15">
      <c r="A43" s="411">
        <v>140070</v>
      </c>
      <c r="B43" s="411">
        <v>8100</v>
      </c>
      <c r="C43" s="411" t="s">
        <v>725</v>
      </c>
      <c r="D43" s="410" t="s">
        <v>747</v>
      </c>
      <c r="E43" s="412">
        <v>0</v>
      </c>
    </row>
    <row r="44" spans="1:5" ht="15">
      <c r="A44" s="411">
        <v>140080</v>
      </c>
      <c r="B44" s="411">
        <v>8000</v>
      </c>
      <c r="C44" s="411" t="s">
        <v>721</v>
      </c>
      <c r="D44" s="410" t="s">
        <v>748</v>
      </c>
      <c r="E44" s="412">
        <v>0</v>
      </c>
    </row>
    <row r="45" spans="1:5" ht="15">
      <c r="A45" s="411">
        <v>140080</v>
      </c>
      <c r="B45" s="411">
        <v>8000</v>
      </c>
      <c r="C45" s="411" t="s">
        <v>721</v>
      </c>
      <c r="D45" s="410" t="s">
        <v>748</v>
      </c>
      <c r="E45" s="412">
        <v>0</v>
      </c>
    </row>
    <row r="46" spans="1:5" ht="15">
      <c r="A46" s="411">
        <v>140080</v>
      </c>
      <c r="B46" s="411">
        <v>8100</v>
      </c>
      <c r="C46" s="411" t="s">
        <v>725</v>
      </c>
      <c r="D46" s="410" t="s">
        <v>748</v>
      </c>
      <c r="E46" s="412">
        <v>0</v>
      </c>
    </row>
    <row r="47" spans="1:5" ht="15">
      <c r="A47" s="411">
        <v>140090</v>
      </c>
      <c r="B47" s="411">
        <v>8000</v>
      </c>
      <c r="C47" s="411" t="s">
        <v>721</v>
      </c>
      <c r="D47" s="410" t="s">
        <v>749</v>
      </c>
      <c r="E47" s="412">
        <v>0</v>
      </c>
    </row>
    <row r="48" spans="1:5" ht="15">
      <c r="A48" s="411">
        <v>140092</v>
      </c>
      <c r="B48" s="411">
        <v>8000</v>
      </c>
      <c r="C48" s="411" t="s">
        <v>721</v>
      </c>
      <c r="D48" s="410" t="s">
        <v>750</v>
      </c>
      <c r="E48" s="412">
        <v>0</v>
      </c>
    </row>
    <row r="49" spans="1:5" ht="15">
      <c r="A49" s="411">
        <v>140092</v>
      </c>
      <c r="B49" s="411">
        <v>8100</v>
      </c>
      <c r="C49" s="411" t="s">
        <v>725</v>
      </c>
      <c r="D49" s="410" t="s">
        <v>750</v>
      </c>
      <c r="E49" s="412">
        <v>0</v>
      </c>
    </row>
    <row r="50" spans="1:5" ht="15">
      <c r="A50" s="411">
        <v>140093</v>
      </c>
      <c r="B50" s="411">
        <v>8000</v>
      </c>
      <c r="C50" s="411" t="s">
        <v>721</v>
      </c>
      <c r="D50" s="410" t="s">
        <v>751</v>
      </c>
      <c r="E50" s="412">
        <v>0</v>
      </c>
    </row>
    <row r="51" spans="1:5" ht="15">
      <c r="A51" s="411">
        <v>140093</v>
      </c>
      <c r="B51" s="411">
        <v>8100</v>
      </c>
      <c r="C51" s="411" t="s">
        <v>725</v>
      </c>
      <c r="D51" s="410" t="s">
        <v>751</v>
      </c>
      <c r="E51" s="412">
        <v>0</v>
      </c>
    </row>
    <row r="52" spans="1:5" ht="15">
      <c r="A52" s="411">
        <v>140100</v>
      </c>
      <c r="B52" s="411">
        <v>8000</v>
      </c>
      <c r="C52" s="411" t="s">
        <v>721</v>
      </c>
      <c r="D52" s="410" t="s">
        <v>752</v>
      </c>
      <c r="E52" s="412">
        <v>-3437033</v>
      </c>
    </row>
    <row r="53" spans="1:5" ht="15">
      <c r="A53" s="411">
        <v>140100</v>
      </c>
      <c r="B53" s="411">
        <v>8000</v>
      </c>
      <c r="C53" s="411" t="s">
        <v>721</v>
      </c>
      <c r="D53" s="410" t="s">
        <v>752</v>
      </c>
      <c r="E53" s="412">
        <v>0</v>
      </c>
    </row>
    <row r="54" spans="1:5" ht="15">
      <c r="A54" s="411">
        <v>140100</v>
      </c>
      <c r="B54" s="411">
        <v>8100</v>
      </c>
      <c r="C54" s="411" t="s">
        <v>725</v>
      </c>
      <c r="D54" s="410" t="s">
        <v>752</v>
      </c>
      <c r="E54" s="412">
        <v>-1032302</v>
      </c>
    </row>
    <row r="55" spans="1:5" ht="15">
      <c r="A55" s="411">
        <v>140110</v>
      </c>
      <c r="B55" s="411">
        <v>8000</v>
      </c>
      <c r="C55" s="411" t="s">
        <v>721</v>
      </c>
      <c r="D55" s="410" t="s">
        <v>753</v>
      </c>
      <c r="E55" s="412">
        <v>0</v>
      </c>
    </row>
    <row r="56" spans="1:5" ht="15">
      <c r="A56" s="411">
        <v>140110</v>
      </c>
      <c r="B56" s="411">
        <v>8000</v>
      </c>
      <c r="C56" s="411" t="s">
        <v>721</v>
      </c>
      <c r="D56" s="410" t="s">
        <v>753</v>
      </c>
      <c r="E56" s="412">
        <v>0</v>
      </c>
    </row>
    <row r="57" spans="1:5" ht="15">
      <c r="A57" s="411">
        <v>140110</v>
      </c>
      <c r="B57" s="411">
        <v>8100</v>
      </c>
      <c r="C57" s="411" t="s">
        <v>725</v>
      </c>
      <c r="D57" s="410" t="s">
        <v>753</v>
      </c>
      <c r="E57" s="412">
        <v>0</v>
      </c>
    </row>
    <row r="58" spans="1:5" ht="15">
      <c r="A58" s="411">
        <v>140111</v>
      </c>
      <c r="B58" s="411">
        <v>8000</v>
      </c>
      <c r="C58" s="411" t="s">
        <v>721</v>
      </c>
      <c r="D58" s="410" t="s">
        <v>754</v>
      </c>
      <c r="E58" s="412">
        <v>0</v>
      </c>
    </row>
    <row r="59" spans="1:5" ht="15">
      <c r="A59" s="411">
        <v>140111</v>
      </c>
      <c r="B59" s="411">
        <v>8100</v>
      </c>
      <c r="C59" s="411" t="s">
        <v>725</v>
      </c>
      <c r="D59" s="410" t="s">
        <v>754</v>
      </c>
      <c r="E59" s="412">
        <v>0</v>
      </c>
    </row>
    <row r="60" spans="1:5" ht="15">
      <c r="A60" s="411">
        <v>140112</v>
      </c>
      <c r="B60" s="411">
        <v>8000</v>
      </c>
      <c r="C60" s="411" t="s">
        <v>721</v>
      </c>
      <c r="D60" s="410" t="s">
        <v>755</v>
      </c>
      <c r="E60" s="412">
        <v>0</v>
      </c>
    </row>
    <row r="61" spans="1:5" ht="15">
      <c r="A61" s="411">
        <v>140112</v>
      </c>
      <c r="B61" s="411">
        <v>8100</v>
      </c>
      <c r="C61" s="411" t="s">
        <v>725</v>
      </c>
      <c r="D61" s="410" t="s">
        <v>755</v>
      </c>
      <c r="E61" s="412">
        <v>0</v>
      </c>
    </row>
    <row r="62" spans="1:5" ht="15">
      <c r="A62" s="411">
        <v>140113</v>
      </c>
      <c r="B62" s="411">
        <v>8000</v>
      </c>
      <c r="C62" s="411" t="s">
        <v>721</v>
      </c>
      <c r="D62" s="410" t="s">
        <v>756</v>
      </c>
      <c r="E62" s="412">
        <v>0</v>
      </c>
    </row>
    <row r="63" spans="1:5" ht="15">
      <c r="A63" s="411">
        <v>140113</v>
      </c>
      <c r="B63" s="411">
        <v>8100</v>
      </c>
      <c r="C63" s="411" t="s">
        <v>725</v>
      </c>
      <c r="D63" s="410" t="s">
        <v>756</v>
      </c>
      <c r="E63" s="412">
        <v>0</v>
      </c>
    </row>
    <row r="64" spans="1:5" ht="15">
      <c r="A64" s="411">
        <v>140114</v>
      </c>
      <c r="B64" s="411">
        <v>8000</v>
      </c>
      <c r="C64" s="411" t="s">
        <v>721</v>
      </c>
      <c r="D64" s="410" t="s">
        <v>757</v>
      </c>
      <c r="E64" s="412">
        <v>0</v>
      </c>
    </row>
    <row r="65" spans="1:5" ht="15">
      <c r="A65" s="411">
        <v>140120</v>
      </c>
      <c r="B65" s="411">
        <v>8000</v>
      </c>
      <c r="C65" s="411" t="s">
        <v>721</v>
      </c>
      <c r="D65" s="410" t="s">
        <v>758</v>
      </c>
      <c r="E65" s="412">
        <v>0</v>
      </c>
    </row>
    <row r="66" spans="1:5" ht="15">
      <c r="A66" s="411">
        <v>140130</v>
      </c>
      <c r="B66" s="411">
        <v>8000</v>
      </c>
      <c r="C66" s="411" t="s">
        <v>721</v>
      </c>
      <c r="D66" s="410" t="s">
        <v>759</v>
      </c>
      <c r="E66" s="412">
        <v>0</v>
      </c>
    </row>
    <row r="67" spans="1:5" ht="15">
      <c r="A67" s="411">
        <v>140130</v>
      </c>
      <c r="B67" s="411">
        <v>8100</v>
      </c>
      <c r="C67" s="411" t="s">
        <v>725</v>
      </c>
      <c r="D67" s="410" t="s">
        <v>759</v>
      </c>
      <c r="E67" s="412">
        <v>0</v>
      </c>
    </row>
    <row r="68" spans="1:5" ht="15">
      <c r="A68" s="411">
        <v>140140</v>
      </c>
      <c r="B68" s="411">
        <v>8000</v>
      </c>
      <c r="C68" s="411" t="s">
        <v>721</v>
      </c>
      <c r="D68" s="410" t="s">
        <v>760</v>
      </c>
      <c r="E68" s="412">
        <v>-28464</v>
      </c>
    </row>
    <row r="69" spans="1:5" ht="15">
      <c r="A69" s="411">
        <v>140140</v>
      </c>
      <c r="B69" s="411">
        <v>8100</v>
      </c>
      <c r="C69" s="411" t="s">
        <v>725</v>
      </c>
      <c r="D69" s="410" t="s">
        <v>760</v>
      </c>
      <c r="E69" s="412">
        <v>-14240</v>
      </c>
    </row>
    <row r="70" spans="1:5" ht="15">
      <c r="A70" s="411">
        <v>140150</v>
      </c>
      <c r="B70" s="411">
        <v>8000</v>
      </c>
      <c r="C70" s="411" t="s">
        <v>721</v>
      </c>
      <c r="D70" s="410" t="s">
        <v>761</v>
      </c>
      <c r="E70" s="412">
        <v>0</v>
      </c>
    </row>
    <row r="71" spans="1:5" ht="15">
      <c r="A71" s="411">
        <v>140150</v>
      </c>
      <c r="B71" s="411">
        <v>8000</v>
      </c>
      <c r="C71" s="411" t="s">
        <v>721</v>
      </c>
      <c r="D71" s="410" t="s">
        <v>761</v>
      </c>
      <c r="E71" s="412">
        <v>0</v>
      </c>
    </row>
    <row r="72" spans="1:5" ht="15">
      <c r="A72" s="411">
        <v>140150</v>
      </c>
      <c r="B72" s="411">
        <v>8100</v>
      </c>
      <c r="C72" s="411" t="s">
        <v>725</v>
      </c>
      <c r="D72" s="410" t="s">
        <v>761</v>
      </c>
      <c r="E72" s="412">
        <v>-5600</v>
      </c>
    </row>
    <row r="73" spans="1:5" ht="15">
      <c r="A73" s="411">
        <v>140170</v>
      </c>
      <c r="B73" s="411">
        <v>8000</v>
      </c>
      <c r="C73" s="411" t="s">
        <v>721</v>
      </c>
      <c r="D73" s="410" t="s">
        <v>762</v>
      </c>
      <c r="E73" s="412">
        <v>-1184628</v>
      </c>
    </row>
    <row r="74" spans="1:5" ht="15">
      <c r="A74" s="411">
        <v>140170</v>
      </c>
      <c r="B74" s="411">
        <v>8000</v>
      </c>
      <c r="C74" s="411" t="s">
        <v>721</v>
      </c>
      <c r="D74" s="410" t="s">
        <v>762</v>
      </c>
      <c r="E74" s="412">
        <v>0</v>
      </c>
    </row>
    <row r="75" spans="1:5" ht="15">
      <c r="A75" s="411">
        <v>140170</v>
      </c>
      <c r="B75" s="411">
        <v>8100</v>
      </c>
      <c r="C75" s="411" t="s">
        <v>725</v>
      </c>
      <c r="D75" s="410" t="s">
        <v>762</v>
      </c>
      <c r="E75" s="412">
        <v>-374524</v>
      </c>
    </row>
    <row r="76" spans="1:5" ht="15">
      <c r="A76" s="411">
        <v>140180</v>
      </c>
      <c r="B76" s="411">
        <v>8000</v>
      </c>
      <c r="C76" s="411" t="s">
        <v>721</v>
      </c>
      <c r="D76" s="410" t="s">
        <v>763</v>
      </c>
      <c r="E76" s="412">
        <v>0</v>
      </c>
    </row>
    <row r="77" spans="1:5" ht="15">
      <c r="A77" s="411">
        <v>140200</v>
      </c>
      <c r="B77" s="411">
        <v>8000</v>
      </c>
      <c r="C77" s="411" t="s">
        <v>721</v>
      </c>
      <c r="D77" s="410" t="s">
        <v>764</v>
      </c>
      <c r="E77" s="412">
        <v>0</v>
      </c>
    </row>
    <row r="78" spans="1:5" ht="15">
      <c r="A78" s="411">
        <v>140200</v>
      </c>
      <c r="B78" s="411">
        <v>8100</v>
      </c>
      <c r="C78" s="411" t="s">
        <v>725</v>
      </c>
      <c r="D78" s="410" t="s">
        <v>764</v>
      </c>
      <c r="E78" s="412">
        <v>0</v>
      </c>
    </row>
    <row r="79" spans="1:5" ht="15">
      <c r="A79" s="411">
        <v>140210</v>
      </c>
      <c r="B79" s="411">
        <v>8000</v>
      </c>
      <c r="C79" s="411" t="s">
        <v>721</v>
      </c>
      <c r="D79" s="410" t="s">
        <v>765</v>
      </c>
      <c r="E79" s="412">
        <v>-800</v>
      </c>
    </row>
    <row r="80" spans="1:5" ht="15">
      <c r="A80" s="411">
        <v>140210</v>
      </c>
      <c r="B80" s="411">
        <v>8000</v>
      </c>
      <c r="C80" s="411" t="s">
        <v>721</v>
      </c>
      <c r="D80" s="410" t="s">
        <v>765</v>
      </c>
      <c r="E80" s="412">
        <v>0</v>
      </c>
    </row>
    <row r="81" spans="1:5" ht="15">
      <c r="A81" s="411">
        <v>140210</v>
      </c>
      <c r="B81" s="411">
        <v>8100</v>
      </c>
      <c r="C81" s="411" t="s">
        <v>725</v>
      </c>
      <c r="D81" s="410" t="s">
        <v>765</v>
      </c>
      <c r="E81" s="412">
        <v>-290</v>
      </c>
    </row>
    <row r="82" spans="1:5" ht="15">
      <c r="A82" s="411">
        <v>140220</v>
      </c>
      <c r="B82" s="411">
        <v>8000</v>
      </c>
      <c r="C82" s="411" t="s">
        <v>721</v>
      </c>
      <c r="D82" s="410" t="s">
        <v>766</v>
      </c>
      <c r="E82" s="412">
        <v>0</v>
      </c>
    </row>
    <row r="83" spans="1:5" ht="15">
      <c r="A83" s="411">
        <v>140220</v>
      </c>
      <c r="B83" s="411">
        <v>8000</v>
      </c>
      <c r="C83" s="411" t="s">
        <v>721</v>
      </c>
      <c r="D83" s="410" t="s">
        <v>766</v>
      </c>
      <c r="E83" s="412">
        <v>0</v>
      </c>
    </row>
    <row r="84" spans="1:5" ht="15">
      <c r="A84" s="411">
        <v>140220</v>
      </c>
      <c r="B84" s="411">
        <v>8100</v>
      </c>
      <c r="C84" s="411" t="s">
        <v>725</v>
      </c>
      <c r="D84" s="410" t="s">
        <v>766</v>
      </c>
      <c r="E84" s="412">
        <v>0</v>
      </c>
    </row>
    <row r="85" spans="1:5" ht="15">
      <c r="A85" s="411">
        <v>140250</v>
      </c>
      <c r="B85" s="411">
        <v>8000</v>
      </c>
      <c r="C85" s="411" t="s">
        <v>721</v>
      </c>
      <c r="D85" s="410" t="s">
        <v>767</v>
      </c>
      <c r="E85" s="412">
        <v>0</v>
      </c>
    </row>
    <row r="86" spans="1:5" ht="15">
      <c r="A86" s="411">
        <v>140250</v>
      </c>
      <c r="B86" s="411">
        <v>8100</v>
      </c>
      <c r="C86" s="411" t="s">
        <v>725</v>
      </c>
      <c r="D86" s="410" t="s">
        <v>767</v>
      </c>
      <c r="E86" s="412">
        <v>0</v>
      </c>
    </row>
    <row r="87" spans="1:5" ht="15">
      <c r="A87" s="411">
        <v>140251</v>
      </c>
      <c r="B87" s="411">
        <v>8000</v>
      </c>
      <c r="C87" s="411" t="s">
        <v>721</v>
      </c>
      <c r="D87" s="410" t="s">
        <v>768</v>
      </c>
      <c r="E87" s="412">
        <v>-597954</v>
      </c>
    </row>
    <row r="88" spans="1:5" ht="15">
      <c r="A88" s="411">
        <v>140251</v>
      </c>
      <c r="B88" s="411">
        <v>8100</v>
      </c>
      <c r="C88" s="411" t="s">
        <v>725</v>
      </c>
      <c r="D88" s="410" t="s">
        <v>768</v>
      </c>
      <c r="E88" s="412">
        <v>-226554</v>
      </c>
    </row>
    <row r="89" spans="1:5" ht="15">
      <c r="A89" s="411">
        <v>140252</v>
      </c>
      <c r="B89" s="411">
        <v>8000</v>
      </c>
      <c r="C89" s="411" t="s">
        <v>721</v>
      </c>
      <c r="D89" s="410" t="s">
        <v>769</v>
      </c>
      <c r="E89" s="412">
        <v>-47842</v>
      </c>
    </row>
    <row r="90" spans="1:5" ht="15">
      <c r="A90" s="411">
        <v>140252</v>
      </c>
      <c r="B90" s="411">
        <v>8100</v>
      </c>
      <c r="C90" s="411" t="s">
        <v>725</v>
      </c>
      <c r="D90" s="410" t="s">
        <v>769</v>
      </c>
      <c r="E90" s="412">
        <v>-15714</v>
      </c>
    </row>
    <row r="91" spans="1:5" ht="15">
      <c r="A91" s="411">
        <v>141010</v>
      </c>
      <c r="B91" s="411">
        <v>8000</v>
      </c>
      <c r="C91" s="411" t="s">
        <v>721</v>
      </c>
      <c r="D91" s="410" t="s">
        <v>770</v>
      </c>
      <c r="E91" s="412">
        <v>9663061</v>
      </c>
    </row>
    <row r="92" spans="1:5" ht="15">
      <c r="A92" s="411">
        <v>141010</v>
      </c>
      <c r="B92" s="411">
        <v>8100</v>
      </c>
      <c r="C92" s="411" t="s">
        <v>725</v>
      </c>
      <c r="D92" s="410" t="s">
        <v>770</v>
      </c>
      <c r="E92" s="412">
        <v>4461506</v>
      </c>
    </row>
    <row r="93" spans="1:5" ht="15">
      <c r="A93" s="411">
        <v>141020</v>
      </c>
      <c r="B93" s="411">
        <v>8000</v>
      </c>
      <c r="C93" s="411" t="s">
        <v>721</v>
      </c>
      <c r="D93" s="410" t="s">
        <v>771</v>
      </c>
      <c r="E93" s="412">
        <v>14383912</v>
      </c>
    </row>
    <row r="94" spans="1:5" ht="15">
      <c r="A94" s="411">
        <v>141020</v>
      </c>
      <c r="B94" s="411">
        <v>8100</v>
      </c>
      <c r="C94" s="411" t="s">
        <v>725</v>
      </c>
      <c r="D94" s="410" t="s">
        <v>771</v>
      </c>
      <c r="E94" s="412">
        <v>7749266</v>
      </c>
    </row>
    <row r="95" spans="1:5" ht="15">
      <c r="A95" s="411">
        <v>143020</v>
      </c>
      <c r="B95" s="411">
        <v>8000</v>
      </c>
      <c r="C95" s="411" t="s">
        <v>721</v>
      </c>
      <c r="D95" s="410" t="s">
        <v>773</v>
      </c>
      <c r="E95" s="412">
        <v>0</v>
      </c>
    </row>
    <row r="96" spans="1:5" ht="15">
      <c r="A96" s="411">
        <v>143030</v>
      </c>
      <c r="B96" s="411">
        <v>8000</v>
      </c>
      <c r="C96" s="411" t="s">
        <v>721</v>
      </c>
      <c r="D96" s="410" t="s">
        <v>774</v>
      </c>
      <c r="E96" s="412">
        <v>-28647</v>
      </c>
    </row>
    <row r="97" spans="1:5" ht="15">
      <c r="A97" s="411">
        <v>143030</v>
      </c>
      <c r="B97" s="411">
        <v>8100</v>
      </c>
      <c r="C97" s="411" t="s">
        <v>725</v>
      </c>
      <c r="D97" s="410" t="s">
        <v>774</v>
      </c>
      <c r="E97" s="412">
        <v>-20826</v>
      </c>
    </row>
    <row r="98" spans="1:5" ht="15">
      <c r="A98" s="411">
        <v>143031</v>
      </c>
      <c r="B98" s="411">
        <v>8000</v>
      </c>
      <c r="C98" s="411" t="s">
        <v>721</v>
      </c>
      <c r="D98" s="410" t="s">
        <v>775</v>
      </c>
      <c r="E98" s="412">
        <v>-36078</v>
      </c>
    </row>
    <row r="99" spans="1:5" ht="15">
      <c r="A99" s="411">
        <v>143060</v>
      </c>
      <c r="B99" s="411">
        <v>8000</v>
      </c>
      <c r="C99" s="411" t="s">
        <v>721</v>
      </c>
      <c r="D99" s="410" t="s">
        <v>776</v>
      </c>
      <c r="E99" s="412">
        <v>194000</v>
      </c>
    </row>
    <row r="100" spans="1:5" ht="15">
      <c r="A100" s="411">
        <v>143060</v>
      </c>
      <c r="B100" s="411">
        <v>8100</v>
      </c>
      <c r="C100" s="411" t="s">
        <v>725</v>
      </c>
      <c r="D100" s="410" t="s">
        <v>776</v>
      </c>
      <c r="E100" s="412">
        <v>0</v>
      </c>
    </row>
    <row r="101" spans="1:5" ht="15">
      <c r="A101" s="411">
        <v>143090</v>
      </c>
      <c r="B101" s="411">
        <v>8000</v>
      </c>
      <c r="C101" s="411" t="s">
        <v>721</v>
      </c>
      <c r="D101" s="410" t="s">
        <v>777</v>
      </c>
      <c r="E101" s="412">
        <v>0</v>
      </c>
    </row>
    <row r="102" spans="1:5" ht="15">
      <c r="A102" s="411">
        <v>143090</v>
      </c>
      <c r="B102" s="411">
        <v>8100</v>
      </c>
      <c r="C102" s="411" t="s">
        <v>725</v>
      </c>
      <c r="D102" s="410" t="s">
        <v>777</v>
      </c>
      <c r="E102" s="412">
        <v>0</v>
      </c>
    </row>
    <row r="103" spans="1:5" ht="15">
      <c r="A103" s="411">
        <v>143120</v>
      </c>
      <c r="B103" s="411">
        <v>8000</v>
      </c>
      <c r="C103" s="411" t="s">
        <v>721</v>
      </c>
      <c r="D103" s="410" t="s">
        <v>778</v>
      </c>
      <c r="E103" s="412">
        <v>-127778</v>
      </c>
    </row>
    <row r="104" spans="1:5" ht="15">
      <c r="A104" s="411">
        <v>143120</v>
      </c>
      <c r="B104" s="411">
        <v>8100</v>
      </c>
      <c r="C104" s="411" t="s">
        <v>725</v>
      </c>
      <c r="D104" s="410" t="s">
        <v>778</v>
      </c>
      <c r="E104" s="412">
        <v>-4801</v>
      </c>
    </row>
    <row r="105" spans="1:5" ht="15">
      <c r="A105" s="411">
        <v>143130</v>
      </c>
      <c r="B105" s="411">
        <v>8000</v>
      </c>
      <c r="C105" s="411" t="s">
        <v>721</v>
      </c>
      <c r="D105" s="410" t="s">
        <v>779</v>
      </c>
      <c r="E105" s="412">
        <v>-127778</v>
      </c>
    </row>
    <row r="106" spans="1:5" ht="15">
      <c r="A106" s="411">
        <v>143130</v>
      </c>
      <c r="B106" s="411">
        <v>8100</v>
      </c>
      <c r="C106" s="411" t="s">
        <v>725</v>
      </c>
      <c r="D106" s="410" t="s">
        <v>779</v>
      </c>
      <c r="E106" s="412">
        <v>-4801</v>
      </c>
    </row>
    <row r="107" spans="1:5" ht="15">
      <c r="A107" s="411">
        <v>143140</v>
      </c>
      <c r="B107" s="411">
        <v>8000</v>
      </c>
      <c r="C107" s="411" t="s">
        <v>721</v>
      </c>
      <c r="D107" s="410" t="s">
        <v>780</v>
      </c>
      <c r="E107" s="412">
        <v>-420</v>
      </c>
    </row>
    <row r="108" spans="1:5" ht="15">
      <c r="A108" s="411">
        <v>143140</v>
      </c>
      <c r="B108" s="411">
        <v>8100</v>
      </c>
      <c r="C108" s="411" t="s">
        <v>725</v>
      </c>
      <c r="D108" s="410" t="s">
        <v>780</v>
      </c>
      <c r="E108" s="412">
        <v>0</v>
      </c>
    </row>
    <row r="109" spans="1:5" ht="15">
      <c r="A109" s="411">
        <v>144010</v>
      </c>
      <c r="B109" s="411">
        <v>8000</v>
      </c>
      <c r="C109" s="411" t="s">
        <v>721</v>
      </c>
      <c r="D109" s="410" t="s">
        <v>781</v>
      </c>
      <c r="E109" s="412">
        <v>0</v>
      </c>
    </row>
    <row r="110" spans="1:5" ht="15">
      <c r="A110" s="411">
        <v>144010</v>
      </c>
      <c r="B110" s="411">
        <v>8100</v>
      </c>
      <c r="C110" s="411" t="s">
        <v>725</v>
      </c>
      <c r="D110" s="410" t="s">
        <v>781</v>
      </c>
      <c r="E110" s="412">
        <v>0</v>
      </c>
    </row>
    <row r="111" spans="1:5" ht="15">
      <c r="A111" s="411">
        <v>144904</v>
      </c>
      <c r="B111" s="411">
        <v>8000</v>
      </c>
      <c r="C111" s="411" t="s">
        <v>721</v>
      </c>
      <c r="D111" s="410" t="s">
        <v>782</v>
      </c>
      <c r="E111" s="412">
        <v>-11511.25</v>
      </c>
    </row>
    <row r="112" spans="1:5" ht="15">
      <c r="A112" s="411">
        <v>144904</v>
      </c>
      <c r="B112" s="411">
        <v>8100</v>
      </c>
      <c r="C112" s="411" t="s">
        <v>725</v>
      </c>
      <c r="D112" s="410" t="s">
        <v>782</v>
      </c>
      <c r="E112" s="412">
        <v>-1663.63</v>
      </c>
    </row>
    <row r="113" spans="1:5" ht="15">
      <c r="A113" s="411">
        <v>144905</v>
      </c>
      <c r="B113" s="411">
        <v>8000</v>
      </c>
      <c r="C113" s="411" t="s">
        <v>721</v>
      </c>
      <c r="D113" s="410" t="s">
        <v>783</v>
      </c>
      <c r="E113" s="412">
        <v>-11511.25</v>
      </c>
    </row>
    <row r="114" spans="1:5" ht="15">
      <c r="A114" s="411">
        <v>144905</v>
      </c>
      <c r="B114" s="411">
        <v>8100</v>
      </c>
      <c r="C114" s="411" t="s">
        <v>725</v>
      </c>
      <c r="D114" s="410" t="s">
        <v>783</v>
      </c>
      <c r="E114" s="412">
        <v>-1663.63</v>
      </c>
    </row>
    <row r="115" spans="1:5" ht="15">
      <c r="A115" s="411">
        <v>144906</v>
      </c>
      <c r="B115" s="411">
        <v>8000</v>
      </c>
      <c r="C115" s="411" t="s">
        <v>721</v>
      </c>
      <c r="D115" s="410" t="s">
        <v>784</v>
      </c>
      <c r="E115" s="412">
        <v>0</v>
      </c>
    </row>
    <row r="116" spans="1:5" ht="15">
      <c r="A116" s="411">
        <v>145010</v>
      </c>
      <c r="B116" s="411">
        <v>8000</v>
      </c>
      <c r="C116" s="411" t="s">
        <v>721</v>
      </c>
      <c r="D116" s="410" t="s">
        <v>785</v>
      </c>
      <c r="E116" s="412">
        <v>0</v>
      </c>
    </row>
    <row r="117" spans="1:5" ht="15">
      <c r="A117" s="411">
        <v>145010</v>
      </c>
      <c r="B117" s="411">
        <v>8100</v>
      </c>
      <c r="C117" s="411" t="s">
        <v>725</v>
      </c>
      <c r="D117" s="410" t="s">
        <v>785</v>
      </c>
      <c r="E117" s="412">
        <v>0</v>
      </c>
    </row>
    <row r="118" spans="1:5" ht="15">
      <c r="A118" s="411">
        <v>145016</v>
      </c>
      <c r="B118" s="411">
        <v>8000</v>
      </c>
      <c r="C118" s="411" t="s">
        <v>721</v>
      </c>
      <c r="D118" s="410" t="s">
        <v>786</v>
      </c>
      <c r="E118" s="412">
        <v>0</v>
      </c>
    </row>
    <row r="119" spans="1:5" ht="15">
      <c r="A119" s="411">
        <v>145016</v>
      </c>
      <c r="B119" s="411">
        <v>8100</v>
      </c>
      <c r="C119" s="411" t="s">
        <v>725</v>
      </c>
      <c r="D119" s="410" t="s">
        <v>786</v>
      </c>
      <c r="E119" s="412">
        <v>-2258.44</v>
      </c>
    </row>
    <row r="120" spans="1:5" ht="15">
      <c r="A120" s="411">
        <v>145017</v>
      </c>
      <c r="B120" s="411">
        <v>8000</v>
      </c>
      <c r="C120" s="411" t="s">
        <v>721</v>
      </c>
      <c r="D120" s="410" t="s">
        <v>787</v>
      </c>
      <c r="E120" s="412">
        <v>0</v>
      </c>
    </row>
    <row r="121" spans="1:5" ht="15">
      <c r="A121" s="411">
        <v>145017</v>
      </c>
      <c r="B121" s="411">
        <v>8100</v>
      </c>
      <c r="C121" s="411" t="s">
        <v>725</v>
      </c>
      <c r="D121" s="410" t="s">
        <v>787</v>
      </c>
      <c r="E121" s="412">
        <v>-2258.44</v>
      </c>
    </row>
    <row r="122" spans="1:5" ht="15">
      <c r="A122" s="411">
        <v>145018</v>
      </c>
      <c r="B122" s="411">
        <v>8000</v>
      </c>
      <c r="C122" s="411" t="s">
        <v>721</v>
      </c>
      <c r="D122" s="410" t="s">
        <v>788</v>
      </c>
      <c r="E122" s="412">
        <v>0</v>
      </c>
    </row>
    <row r="123" spans="1:5" ht="15">
      <c r="A123" s="411">
        <v>146010</v>
      </c>
      <c r="B123" s="411">
        <v>8000</v>
      </c>
      <c r="C123" s="411" t="s">
        <v>721</v>
      </c>
      <c r="D123" s="410" t="s">
        <v>789</v>
      </c>
      <c r="E123" s="412">
        <v>-8644.83</v>
      </c>
    </row>
    <row r="124" spans="1:5" ht="15">
      <c r="A124" s="411">
        <v>146010</v>
      </c>
      <c r="B124" s="411">
        <v>8100</v>
      </c>
      <c r="C124" s="411" t="s">
        <v>725</v>
      </c>
      <c r="D124" s="410" t="s">
        <v>789</v>
      </c>
      <c r="E124" s="412">
        <v>0</v>
      </c>
    </row>
    <row r="125" spans="1:5" ht="15">
      <c r="A125" s="411">
        <v>146020</v>
      </c>
      <c r="B125" s="411">
        <v>8000</v>
      </c>
      <c r="C125" s="411" t="s">
        <v>721</v>
      </c>
      <c r="D125" s="410" t="s">
        <v>790</v>
      </c>
      <c r="E125" s="412">
        <v>0</v>
      </c>
    </row>
    <row r="126" spans="1:5" ht="15">
      <c r="A126" s="411">
        <v>150011</v>
      </c>
      <c r="B126" s="411">
        <v>8000</v>
      </c>
      <c r="C126" s="411" t="s">
        <v>721</v>
      </c>
      <c r="D126" s="410" t="s">
        <v>792</v>
      </c>
      <c r="E126" s="412">
        <v>0</v>
      </c>
    </row>
    <row r="127" spans="1:5" ht="15">
      <c r="A127" s="411">
        <v>150030</v>
      </c>
      <c r="B127" s="411">
        <v>8000</v>
      </c>
      <c r="C127" s="411" t="s">
        <v>721</v>
      </c>
      <c r="D127" s="410" t="s">
        <v>793</v>
      </c>
      <c r="E127" s="412">
        <v>-1760773</v>
      </c>
    </row>
    <row r="128" spans="1:5" ht="15">
      <c r="A128" s="411">
        <v>150030</v>
      </c>
      <c r="B128" s="411">
        <v>8100</v>
      </c>
      <c r="C128" s="411" t="s">
        <v>725</v>
      </c>
      <c r="D128" s="410" t="s">
        <v>793</v>
      </c>
      <c r="E128" s="412">
        <v>0</v>
      </c>
    </row>
    <row r="129" spans="1:5" ht="15">
      <c r="A129" s="411">
        <v>150040</v>
      </c>
      <c r="B129" s="411">
        <v>8000</v>
      </c>
      <c r="C129" s="411" t="s">
        <v>721</v>
      </c>
      <c r="D129" s="410" t="s">
        <v>794</v>
      </c>
      <c r="E129" s="412">
        <v>0</v>
      </c>
    </row>
    <row r="130" spans="1:5" ht="15">
      <c r="A130" s="411">
        <v>150040</v>
      </c>
      <c r="B130" s="411">
        <v>8100</v>
      </c>
      <c r="C130" s="411" t="s">
        <v>725</v>
      </c>
      <c r="D130" s="410" t="s">
        <v>794</v>
      </c>
      <c r="E130" s="412">
        <v>0</v>
      </c>
    </row>
    <row r="131" spans="1:5" ht="15">
      <c r="A131" s="411">
        <v>150080</v>
      </c>
      <c r="B131" s="411">
        <v>8000</v>
      </c>
      <c r="C131" s="411" t="s">
        <v>721</v>
      </c>
      <c r="D131" s="410" t="s">
        <v>795</v>
      </c>
      <c r="E131" s="412">
        <v>0</v>
      </c>
    </row>
    <row r="132" spans="1:5" ht="15">
      <c r="A132" s="411">
        <v>150080</v>
      </c>
      <c r="B132" s="411">
        <v>8100</v>
      </c>
      <c r="C132" s="411" t="s">
        <v>725</v>
      </c>
      <c r="D132" s="410" t="s">
        <v>795</v>
      </c>
      <c r="E132" s="412">
        <v>0</v>
      </c>
    </row>
    <row r="133" spans="1:5" ht="15">
      <c r="A133" s="411">
        <v>160020</v>
      </c>
      <c r="B133" s="411">
        <v>8000</v>
      </c>
      <c r="C133" s="411" t="s">
        <v>721</v>
      </c>
      <c r="D133" s="410" t="s">
        <v>797</v>
      </c>
      <c r="E133" s="412">
        <v>0</v>
      </c>
    </row>
    <row r="134" spans="1:5" ht="15">
      <c r="A134" s="411">
        <v>160030</v>
      </c>
      <c r="B134" s="411">
        <v>8000</v>
      </c>
      <c r="C134" s="411" t="s">
        <v>721</v>
      </c>
      <c r="D134" s="410" t="s">
        <v>798</v>
      </c>
      <c r="E134" s="412">
        <v>-5600</v>
      </c>
    </row>
    <row r="135" spans="1:5" ht="15">
      <c r="A135" s="411">
        <v>160030</v>
      </c>
      <c r="B135" s="411">
        <v>8100</v>
      </c>
      <c r="C135" s="411" t="s">
        <v>725</v>
      </c>
      <c r="D135" s="410" t="s">
        <v>798</v>
      </c>
      <c r="E135" s="412">
        <v>-2030</v>
      </c>
    </row>
    <row r="136" spans="1:5" ht="15">
      <c r="A136" s="411">
        <v>165010</v>
      </c>
      <c r="B136" s="411">
        <v>8000</v>
      </c>
      <c r="C136" s="411" t="s">
        <v>721</v>
      </c>
      <c r="D136" s="410" t="s">
        <v>799</v>
      </c>
      <c r="E136" s="412">
        <v>-5418</v>
      </c>
    </row>
    <row r="137" spans="1:5" ht="15">
      <c r="A137" s="411">
        <v>165010</v>
      </c>
      <c r="B137" s="411">
        <v>8100</v>
      </c>
      <c r="C137" s="411" t="s">
        <v>725</v>
      </c>
      <c r="D137" s="410" t="s">
        <v>799</v>
      </c>
      <c r="E137" s="412">
        <v>0</v>
      </c>
    </row>
    <row r="138" spans="1:5" ht="15">
      <c r="A138" s="411">
        <v>170010</v>
      </c>
      <c r="B138" s="411">
        <v>8000</v>
      </c>
      <c r="C138" s="411" t="s">
        <v>721</v>
      </c>
      <c r="D138" s="410" t="s">
        <v>800</v>
      </c>
      <c r="E138" s="412">
        <v>-765422785.21000004</v>
      </c>
    </row>
    <row r="139" spans="1:5" ht="15">
      <c r="A139" s="411">
        <v>170020</v>
      </c>
      <c r="B139" s="411">
        <v>8000</v>
      </c>
      <c r="C139" s="411" t="s">
        <v>721</v>
      </c>
      <c r="D139" s="410" t="s">
        <v>801</v>
      </c>
      <c r="E139" s="412">
        <v>-34158345.390000001</v>
      </c>
    </row>
    <row r="140" spans="1:5" ht="15">
      <c r="A140" s="411">
        <v>170030</v>
      </c>
      <c r="B140" s="411">
        <v>8000</v>
      </c>
      <c r="C140" s="411" t="s">
        <v>721</v>
      </c>
      <c r="D140" s="410" t="s">
        <v>802</v>
      </c>
      <c r="E140" s="412">
        <v>-3184887.12</v>
      </c>
    </row>
    <row r="141" spans="1:5" ht="15">
      <c r="A141" s="411">
        <v>170040</v>
      </c>
      <c r="B141" s="411">
        <v>8000</v>
      </c>
      <c r="C141" s="411" t="s">
        <v>721</v>
      </c>
      <c r="D141" s="410" t="s">
        <v>803</v>
      </c>
      <c r="E141" s="412">
        <v>-190010.29</v>
      </c>
    </row>
    <row r="142" spans="1:5" ht="15">
      <c r="A142" s="411">
        <v>170050</v>
      </c>
      <c r="B142" s="411">
        <v>8000</v>
      </c>
      <c r="C142" s="411" t="s">
        <v>721</v>
      </c>
      <c r="D142" s="410" t="s">
        <v>804</v>
      </c>
      <c r="E142" s="412">
        <v>-142046393.71000001</v>
      </c>
    </row>
    <row r="143" spans="1:5" ht="15">
      <c r="A143" s="411">
        <v>200010</v>
      </c>
      <c r="B143" s="411">
        <v>8100</v>
      </c>
      <c r="C143" s="411" t="s">
        <v>725</v>
      </c>
      <c r="D143" s="410" t="s">
        <v>806</v>
      </c>
      <c r="E143" s="412">
        <v>0</v>
      </c>
    </row>
    <row r="144" spans="1:5" ht="15">
      <c r="A144" s="411">
        <v>200090</v>
      </c>
      <c r="B144" s="411">
        <v>8000</v>
      </c>
      <c r="C144" s="411" t="s">
        <v>721</v>
      </c>
      <c r="D144" s="410" t="s">
        <v>807</v>
      </c>
      <c r="E144" s="412">
        <v>0</v>
      </c>
    </row>
    <row r="145" spans="1:5" ht="15">
      <c r="A145" s="411">
        <v>200100</v>
      </c>
      <c r="B145" s="411">
        <v>8000</v>
      </c>
      <c r="C145" s="411" t="s">
        <v>721</v>
      </c>
      <c r="D145" s="410" t="s">
        <v>808</v>
      </c>
      <c r="E145" s="412">
        <v>0</v>
      </c>
    </row>
    <row r="146" spans="1:5" ht="15">
      <c r="A146" s="411">
        <v>200180</v>
      </c>
      <c r="B146" s="411">
        <v>8000</v>
      </c>
      <c r="C146" s="411" t="s">
        <v>721</v>
      </c>
      <c r="D146" s="410" t="s">
        <v>809</v>
      </c>
      <c r="E146" s="412">
        <v>961130</v>
      </c>
    </row>
    <row r="147" spans="1:5" ht="15">
      <c r="A147" s="411">
        <v>201010</v>
      </c>
      <c r="B147" s="411">
        <v>8000</v>
      </c>
      <c r="C147" s="411" t="s">
        <v>721</v>
      </c>
      <c r="D147" s="410" t="s">
        <v>810</v>
      </c>
      <c r="E147" s="412">
        <v>12739447.43</v>
      </c>
    </row>
    <row r="148" spans="1:5" ht="15">
      <c r="A148" s="411">
        <v>201010</v>
      </c>
      <c r="B148" s="411">
        <v>8100</v>
      </c>
      <c r="C148" s="411" t="s">
        <v>725</v>
      </c>
      <c r="D148" s="410" t="s">
        <v>810</v>
      </c>
      <c r="E148" s="412">
        <v>0</v>
      </c>
    </row>
    <row r="149" spans="1:5" ht="15">
      <c r="A149" s="411">
        <v>202020</v>
      </c>
      <c r="B149" s="411">
        <v>8000</v>
      </c>
      <c r="C149" s="411" t="s">
        <v>721</v>
      </c>
      <c r="D149" s="410" t="s">
        <v>811</v>
      </c>
      <c r="E149" s="412">
        <v>214655335.74000001</v>
      </c>
    </row>
    <row r="150" spans="1:5" ht="15">
      <c r="A150" s="411">
        <v>202020</v>
      </c>
      <c r="B150" s="411">
        <v>8100</v>
      </c>
      <c r="C150" s="411" t="s">
        <v>725</v>
      </c>
      <c r="D150" s="410" t="s">
        <v>811</v>
      </c>
      <c r="E150" s="412">
        <v>42145700.719999999</v>
      </c>
    </row>
    <row r="151" spans="1:5" ht="15">
      <c r="A151" s="411">
        <v>202040</v>
      </c>
      <c r="B151" s="411">
        <v>8000</v>
      </c>
      <c r="C151" s="411" t="s">
        <v>721</v>
      </c>
      <c r="D151" s="410" t="s">
        <v>812</v>
      </c>
      <c r="E151" s="412">
        <v>8095392.6799999997</v>
      </c>
    </row>
    <row r="152" spans="1:5" ht="15">
      <c r="A152" s="411">
        <v>202050</v>
      </c>
      <c r="B152" s="411">
        <v>8000</v>
      </c>
      <c r="C152" s="411" t="s">
        <v>721</v>
      </c>
      <c r="D152" s="410" t="s">
        <v>813</v>
      </c>
      <c r="E152" s="412">
        <v>22362.47</v>
      </c>
    </row>
    <row r="153" spans="1:5" ht="15">
      <c r="A153" s="411">
        <v>202050</v>
      </c>
      <c r="B153" s="411">
        <v>8100</v>
      </c>
      <c r="C153" s="411" t="s">
        <v>725</v>
      </c>
      <c r="D153" s="410" t="s">
        <v>813</v>
      </c>
      <c r="E153" s="412">
        <v>115165</v>
      </c>
    </row>
    <row r="154" spans="1:5" ht="15">
      <c r="A154" s="411">
        <v>202070</v>
      </c>
      <c r="B154" s="411">
        <v>8000</v>
      </c>
      <c r="C154" s="411" t="s">
        <v>721</v>
      </c>
      <c r="D154" s="410" t="s">
        <v>814</v>
      </c>
      <c r="E154" s="412">
        <v>443511.58</v>
      </c>
    </row>
    <row r="155" spans="1:5" ht="15">
      <c r="A155" s="411">
        <v>202070</v>
      </c>
      <c r="B155" s="411">
        <v>8100</v>
      </c>
      <c r="C155" s="411" t="s">
        <v>725</v>
      </c>
      <c r="D155" s="410" t="s">
        <v>814</v>
      </c>
      <c r="E155" s="412">
        <v>0</v>
      </c>
    </row>
    <row r="156" spans="1:5" ht="15">
      <c r="A156" s="411">
        <v>203020</v>
      </c>
      <c r="B156" s="411">
        <v>8000</v>
      </c>
      <c r="C156" s="411" t="s">
        <v>721</v>
      </c>
      <c r="D156" s="410" t="s">
        <v>815</v>
      </c>
      <c r="E156" s="412">
        <v>169462.35</v>
      </c>
    </row>
    <row r="157" spans="1:5" ht="15">
      <c r="A157" s="411">
        <v>203040</v>
      </c>
      <c r="B157" s="411">
        <v>8100</v>
      </c>
      <c r="C157" s="411" t="s">
        <v>725</v>
      </c>
      <c r="D157" s="410" t="s">
        <v>816</v>
      </c>
      <c r="E157" s="412">
        <v>358976.85</v>
      </c>
    </row>
    <row r="158" spans="1:5" ht="15">
      <c r="A158" s="411">
        <v>204010</v>
      </c>
      <c r="B158" s="411">
        <v>8100</v>
      </c>
      <c r="C158" s="411" t="s">
        <v>725</v>
      </c>
      <c r="D158" s="410" t="s">
        <v>817</v>
      </c>
      <c r="E158" s="412">
        <v>381634.92</v>
      </c>
    </row>
    <row r="159" spans="1:5" ht="15">
      <c r="A159" s="411">
        <v>204020</v>
      </c>
      <c r="B159" s="411">
        <v>8100</v>
      </c>
      <c r="C159" s="411" t="s">
        <v>725</v>
      </c>
      <c r="D159" s="410" t="s">
        <v>818</v>
      </c>
      <c r="E159" s="412">
        <v>60840.33</v>
      </c>
    </row>
    <row r="160" spans="1:5" ht="15">
      <c r="A160" s="411">
        <v>204040</v>
      </c>
      <c r="B160" s="411">
        <v>8000</v>
      </c>
      <c r="C160" s="411" t="s">
        <v>721</v>
      </c>
      <c r="D160" s="410" t="s">
        <v>819</v>
      </c>
      <c r="E160" s="412">
        <v>771130.72</v>
      </c>
    </row>
    <row r="161" spans="1:5" ht="15">
      <c r="A161" s="411">
        <v>204040</v>
      </c>
      <c r="B161" s="411">
        <v>8100</v>
      </c>
      <c r="C161" s="411" t="s">
        <v>725</v>
      </c>
      <c r="D161" s="410" t="s">
        <v>819</v>
      </c>
      <c r="E161" s="412">
        <v>2363092.7400000002</v>
      </c>
    </row>
    <row r="162" spans="1:5" ht="15">
      <c r="A162" s="411">
        <v>205010</v>
      </c>
      <c r="B162" s="411">
        <v>8000</v>
      </c>
      <c r="C162" s="411" t="s">
        <v>721</v>
      </c>
      <c r="D162" s="410" t="s">
        <v>820</v>
      </c>
      <c r="E162" s="412">
        <v>14921607.41</v>
      </c>
    </row>
    <row r="163" spans="1:5" ht="15">
      <c r="A163" s="411">
        <v>205010</v>
      </c>
      <c r="B163" s="411">
        <v>8100</v>
      </c>
      <c r="C163" s="411" t="s">
        <v>725</v>
      </c>
      <c r="D163" s="410" t="s">
        <v>820</v>
      </c>
      <c r="E163" s="412">
        <v>0</v>
      </c>
    </row>
    <row r="164" spans="1:5" ht="15">
      <c r="A164" s="411">
        <v>205060</v>
      </c>
      <c r="B164" s="411">
        <v>8000</v>
      </c>
      <c r="C164" s="411" t="s">
        <v>721</v>
      </c>
      <c r="D164" s="410" t="s">
        <v>821</v>
      </c>
      <c r="E164" s="412">
        <v>0</v>
      </c>
    </row>
    <row r="165" spans="1:5" ht="15">
      <c r="A165" s="411">
        <v>205060</v>
      </c>
      <c r="B165" s="411">
        <v>8100</v>
      </c>
      <c r="C165" s="411" t="s">
        <v>725</v>
      </c>
      <c r="D165" s="410" t="s">
        <v>821</v>
      </c>
      <c r="E165" s="412">
        <v>7865982.1200000001</v>
      </c>
    </row>
    <row r="166" spans="1:5" ht="15">
      <c r="A166" s="411">
        <v>205070</v>
      </c>
      <c r="B166" s="411">
        <v>8000</v>
      </c>
      <c r="C166" s="411" t="s">
        <v>721</v>
      </c>
      <c r="D166" s="410" t="s">
        <v>822</v>
      </c>
      <c r="E166" s="412">
        <v>615193.11</v>
      </c>
    </row>
    <row r="167" spans="1:5" ht="15">
      <c r="A167" s="411">
        <v>206010</v>
      </c>
      <c r="B167" s="411">
        <v>8000</v>
      </c>
      <c r="C167" s="411" t="s">
        <v>721</v>
      </c>
      <c r="D167" s="410" t="s">
        <v>823</v>
      </c>
      <c r="E167" s="412">
        <v>128027.5</v>
      </c>
    </row>
    <row r="168" spans="1:5" ht="15">
      <c r="A168" s="411">
        <v>206050</v>
      </c>
      <c r="B168" s="411">
        <v>8000</v>
      </c>
      <c r="C168" s="411" t="s">
        <v>721</v>
      </c>
      <c r="D168" s="410" t="s">
        <v>824</v>
      </c>
      <c r="E168" s="412">
        <v>3745813.55</v>
      </c>
    </row>
    <row r="169" spans="1:5" ht="15">
      <c r="A169" s="411">
        <v>206050</v>
      </c>
      <c r="B169" s="411">
        <v>8100</v>
      </c>
      <c r="C169" s="411" t="s">
        <v>725</v>
      </c>
      <c r="D169" s="410" t="s">
        <v>824</v>
      </c>
      <c r="E169" s="412">
        <v>7167663</v>
      </c>
    </row>
    <row r="170" spans="1:5" ht="15">
      <c r="A170" s="411">
        <v>206060</v>
      </c>
      <c r="B170" s="411">
        <v>8100</v>
      </c>
      <c r="C170" s="411" t="s">
        <v>725</v>
      </c>
      <c r="D170" s="410" t="s">
        <v>825</v>
      </c>
      <c r="E170" s="412">
        <v>3314.8</v>
      </c>
    </row>
    <row r="171" spans="1:5" ht="15">
      <c r="A171" s="411">
        <v>206070</v>
      </c>
      <c r="B171" s="411">
        <v>8000</v>
      </c>
      <c r="C171" s="411" t="s">
        <v>721</v>
      </c>
      <c r="D171" s="410" t="s">
        <v>826</v>
      </c>
      <c r="E171" s="412">
        <v>609980954.48000002</v>
      </c>
    </row>
    <row r="172" spans="1:5" ht="15">
      <c r="A172" s="411">
        <v>206070</v>
      </c>
      <c r="B172" s="411">
        <v>8100</v>
      </c>
      <c r="C172" s="411" t="s">
        <v>725</v>
      </c>
      <c r="D172" s="410" t="s">
        <v>826</v>
      </c>
      <c r="E172" s="412">
        <v>63425668.950000003</v>
      </c>
    </row>
    <row r="173" spans="1:5" ht="15">
      <c r="A173" s="411">
        <v>206080</v>
      </c>
      <c r="B173" s="411">
        <v>8000</v>
      </c>
      <c r="C173" s="411" t="s">
        <v>721</v>
      </c>
      <c r="D173" s="410" t="s">
        <v>827</v>
      </c>
      <c r="E173" s="412">
        <v>2378096.6800000002</v>
      </c>
    </row>
    <row r="174" spans="1:5" ht="15">
      <c r="A174" s="411">
        <v>206080</v>
      </c>
      <c r="B174" s="411">
        <v>8100</v>
      </c>
      <c r="C174" s="411" t="s">
        <v>725</v>
      </c>
      <c r="D174" s="410" t="s">
        <v>827</v>
      </c>
      <c r="E174" s="412">
        <v>9043335.0700000003</v>
      </c>
    </row>
    <row r="175" spans="1:5" ht="15">
      <c r="A175" s="411">
        <v>206090</v>
      </c>
      <c r="B175" s="411">
        <v>8000</v>
      </c>
      <c r="C175" s="411" t="s">
        <v>721</v>
      </c>
      <c r="D175" s="410" t="s">
        <v>828</v>
      </c>
      <c r="E175" s="412">
        <v>1183217.48</v>
      </c>
    </row>
    <row r="176" spans="1:5" ht="15">
      <c r="A176" s="411">
        <v>206090</v>
      </c>
      <c r="B176" s="411">
        <v>8100</v>
      </c>
      <c r="C176" s="411" t="s">
        <v>725</v>
      </c>
      <c r="D176" s="410" t="s">
        <v>828</v>
      </c>
      <c r="E176" s="412">
        <v>6866519.8600000003</v>
      </c>
    </row>
    <row r="177" spans="1:5" ht="15">
      <c r="A177" s="411">
        <v>206100</v>
      </c>
      <c r="B177" s="411">
        <v>8000</v>
      </c>
      <c r="C177" s="411" t="s">
        <v>721</v>
      </c>
      <c r="D177" s="410" t="s">
        <v>829</v>
      </c>
      <c r="E177" s="412">
        <v>16454771.34</v>
      </c>
    </row>
    <row r="178" spans="1:5" ht="15">
      <c r="A178" s="411">
        <v>206100</v>
      </c>
      <c r="B178" s="411">
        <v>8100</v>
      </c>
      <c r="C178" s="411" t="s">
        <v>725</v>
      </c>
      <c r="D178" s="410" t="s">
        <v>829</v>
      </c>
      <c r="E178" s="412">
        <v>316018</v>
      </c>
    </row>
    <row r="179" spans="1:5" ht="15">
      <c r="A179" s="411">
        <v>206110</v>
      </c>
      <c r="B179" s="411">
        <v>8000</v>
      </c>
      <c r="C179" s="411" t="s">
        <v>721</v>
      </c>
      <c r="D179" s="410" t="s">
        <v>830</v>
      </c>
      <c r="E179" s="412">
        <v>654583.32999999996</v>
      </c>
    </row>
    <row r="180" spans="1:5" ht="15">
      <c r="A180" s="411">
        <v>206110</v>
      </c>
      <c r="B180" s="411">
        <v>8100</v>
      </c>
      <c r="C180" s="411" t="s">
        <v>725</v>
      </c>
      <c r="D180" s="410" t="s">
        <v>830</v>
      </c>
      <c r="E180" s="412">
        <v>51600</v>
      </c>
    </row>
    <row r="181" spans="1:5" ht="15">
      <c r="A181" s="411">
        <v>206120</v>
      </c>
      <c r="B181" s="411">
        <v>8000</v>
      </c>
      <c r="C181" s="411" t="s">
        <v>721</v>
      </c>
      <c r="D181" s="410" t="s">
        <v>831</v>
      </c>
      <c r="E181" s="412">
        <v>71789.279999999999</v>
      </c>
    </row>
    <row r="182" spans="1:5" ht="15">
      <c r="A182" s="411">
        <v>206120</v>
      </c>
      <c r="B182" s="411">
        <v>8100</v>
      </c>
      <c r="C182" s="411" t="s">
        <v>725</v>
      </c>
      <c r="D182" s="410" t="s">
        <v>831</v>
      </c>
      <c r="E182" s="412">
        <v>35482.01</v>
      </c>
    </row>
    <row r="183" spans="1:5" ht="15">
      <c r="A183" s="411">
        <v>206130</v>
      </c>
      <c r="B183" s="411">
        <v>8000</v>
      </c>
      <c r="C183" s="411" t="s">
        <v>721</v>
      </c>
      <c r="D183" s="410" t="s">
        <v>832</v>
      </c>
      <c r="E183" s="412">
        <v>37552.949999999997</v>
      </c>
    </row>
    <row r="184" spans="1:5" ht="15">
      <c r="A184" s="411">
        <v>206130</v>
      </c>
      <c r="B184" s="411">
        <v>8100</v>
      </c>
      <c r="C184" s="411" t="s">
        <v>725</v>
      </c>
      <c r="D184" s="410" t="s">
        <v>832</v>
      </c>
      <c r="E184" s="412">
        <v>3679614.9</v>
      </c>
    </row>
    <row r="185" spans="1:5" ht="15">
      <c r="A185" s="411">
        <v>206150</v>
      </c>
      <c r="B185" s="411">
        <v>8100</v>
      </c>
      <c r="C185" s="411" t="s">
        <v>725</v>
      </c>
      <c r="D185" s="410" t="s">
        <v>833</v>
      </c>
      <c r="E185" s="412">
        <v>627983.73</v>
      </c>
    </row>
    <row r="186" spans="1:5" ht="15">
      <c r="A186" s="411">
        <v>206200</v>
      </c>
      <c r="B186" s="411">
        <v>8000</v>
      </c>
      <c r="C186" s="411" t="s">
        <v>721</v>
      </c>
      <c r="D186" s="410" t="s">
        <v>834</v>
      </c>
      <c r="E186" s="412">
        <v>7113156.9500000002</v>
      </c>
    </row>
    <row r="187" spans="1:5" ht="15">
      <c r="A187" s="411">
        <v>206200</v>
      </c>
      <c r="B187" s="411">
        <v>8100</v>
      </c>
      <c r="C187" s="411" t="s">
        <v>725</v>
      </c>
      <c r="D187" s="410" t="s">
        <v>834</v>
      </c>
      <c r="E187" s="412">
        <v>805595</v>
      </c>
    </row>
    <row r="188" spans="1:5" ht="15">
      <c r="A188" s="411">
        <v>208010</v>
      </c>
      <c r="B188" s="411">
        <v>8000</v>
      </c>
      <c r="C188" s="411" t="s">
        <v>721</v>
      </c>
      <c r="D188" s="410" t="s">
        <v>835</v>
      </c>
      <c r="E188" s="412">
        <v>15566.88</v>
      </c>
    </row>
    <row r="189" spans="1:5" ht="15">
      <c r="A189" s="411">
        <v>208010</v>
      </c>
      <c r="B189" s="411">
        <v>8100</v>
      </c>
      <c r="C189" s="411" t="s">
        <v>725</v>
      </c>
      <c r="D189" s="410" t="s">
        <v>835</v>
      </c>
      <c r="E189" s="412">
        <v>594018.05000000005</v>
      </c>
    </row>
    <row r="190" spans="1:5" ht="15">
      <c r="A190" s="411">
        <v>208050</v>
      </c>
      <c r="B190" s="411">
        <v>8000</v>
      </c>
      <c r="C190" s="411" t="s">
        <v>721</v>
      </c>
      <c r="D190" s="410" t="s">
        <v>836</v>
      </c>
      <c r="E190" s="412">
        <v>956506.22</v>
      </c>
    </row>
    <row r="191" spans="1:5" ht="15">
      <c r="A191" s="411">
        <v>208050</v>
      </c>
      <c r="B191" s="411">
        <v>8100</v>
      </c>
      <c r="C191" s="411" t="s">
        <v>725</v>
      </c>
      <c r="D191" s="410" t="s">
        <v>836</v>
      </c>
      <c r="E191" s="412">
        <v>123206.55</v>
      </c>
    </row>
    <row r="192" spans="1:5" ht="15">
      <c r="A192" s="411">
        <v>208060</v>
      </c>
      <c r="B192" s="411">
        <v>8000</v>
      </c>
      <c r="C192" s="411" t="s">
        <v>721</v>
      </c>
      <c r="D192" s="410" t="s">
        <v>837</v>
      </c>
      <c r="E192" s="412">
        <v>556150</v>
      </c>
    </row>
    <row r="193" spans="1:5" ht="15">
      <c r="A193" s="411">
        <v>209030</v>
      </c>
      <c r="B193" s="411">
        <v>8000</v>
      </c>
      <c r="C193" s="411" t="s">
        <v>721</v>
      </c>
      <c r="D193" s="410" t="s">
        <v>838</v>
      </c>
      <c r="E193" s="412">
        <v>3731610.6</v>
      </c>
    </row>
    <row r="194" spans="1:5" ht="15">
      <c r="A194" s="411">
        <v>209030</v>
      </c>
      <c r="B194" s="411">
        <v>8100</v>
      </c>
      <c r="C194" s="411" t="s">
        <v>725</v>
      </c>
      <c r="D194" s="410" t="s">
        <v>838</v>
      </c>
      <c r="E194" s="412">
        <v>0</v>
      </c>
    </row>
    <row r="195" spans="1:5" ht="15">
      <c r="A195" s="411">
        <v>209310</v>
      </c>
      <c r="B195" s="411">
        <v>8000</v>
      </c>
      <c r="C195" s="411" t="s">
        <v>721</v>
      </c>
      <c r="D195" s="410" t="s">
        <v>839</v>
      </c>
      <c r="E195" s="412">
        <v>3675421.16</v>
      </c>
    </row>
    <row r="196" spans="1:5" ht="15">
      <c r="A196" s="411">
        <v>209310</v>
      </c>
      <c r="B196" s="411">
        <v>8100</v>
      </c>
      <c r="C196" s="411" t="s">
        <v>725</v>
      </c>
      <c r="D196" s="410" t="s">
        <v>839</v>
      </c>
      <c r="E196" s="412">
        <v>2482975.56</v>
      </c>
    </row>
    <row r="197" spans="1:5" ht="15">
      <c r="A197" s="411">
        <v>209320</v>
      </c>
      <c r="B197" s="411">
        <v>8000</v>
      </c>
      <c r="C197" s="411" t="s">
        <v>721</v>
      </c>
      <c r="D197" s="410" t="s">
        <v>840</v>
      </c>
      <c r="E197" s="412">
        <v>18900430.190000001</v>
      </c>
    </row>
    <row r="198" spans="1:5" ht="15">
      <c r="A198" s="411">
        <v>209320</v>
      </c>
      <c r="B198" s="411">
        <v>8100</v>
      </c>
      <c r="C198" s="411" t="s">
        <v>725</v>
      </c>
      <c r="D198" s="410" t="s">
        <v>840</v>
      </c>
      <c r="E198" s="412">
        <v>2679588.66</v>
      </c>
    </row>
    <row r="199" spans="1:5" ht="15">
      <c r="A199" s="411">
        <v>209510</v>
      </c>
      <c r="B199" s="411">
        <v>8000</v>
      </c>
      <c r="C199" s="411" t="s">
        <v>721</v>
      </c>
      <c r="D199" s="410" t="s">
        <v>841</v>
      </c>
      <c r="E199" s="412">
        <v>28469217.420000002</v>
      </c>
    </row>
    <row r="200" spans="1:5" ht="15">
      <c r="A200" s="411">
        <v>209510</v>
      </c>
      <c r="B200" s="411">
        <v>8100</v>
      </c>
      <c r="C200" s="411" t="s">
        <v>725</v>
      </c>
      <c r="D200" s="410" t="s">
        <v>841</v>
      </c>
      <c r="E200" s="412">
        <v>0</v>
      </c>
    </row>
    <row r="201" spans="1:5" ht="15">
      <c r="A201" s="411">
        <v>209610</v>
      </c>
      <c r="B201" s="411">
        <v>8000</v>
      </c>
      <c r="C201" s="411" t="s">
        <v>721</v>
      </c>
      <c r="D201" s="410" t="s">
        <v>842</v>
      </c>
      <c r="E201" s="412">
        <v>29539250.510000002</v>
      </c>
    </row>
    <row r="202" spans="1:5" ht="15">
      <c r="A202" s="411">
        <v>209610</v>
      </c>
      <c r="B202" s="411">
        <v>8100</v>
      </c>
      <c r="C202" s="411" t="s">
        <v>725</v>
      </c>
      <c r="D202" s="410" t="s">
        <v>842</v>
      </c>
      <c r="E202" s="412">
        <v>1844976.29</v>
      </c>
    </row>
    <row r="203" spans="1:5" ht="15">
      <c r="A203" s="411">
        <v>209620</v>
      </c>
      <c r="B203" s="411">
        <v>8000</v>
      </c>
      <c r="C203" s="411" t="s">
        <v>721</v>
      </c>
      <c r="D203" s="410" t="s">
        <v>843</v>
      </c>
      <c r="E203" s="412">
        <v>58663</v>
      </c>
    </row>
    <row r="204" spans="1:5" ht="15">
      <c r="A204" s="411">
        <v>209620</v>
      </c>
      <c r="B204" s="411">
        <v>8100</v>
      </c>
      <c r="C204" s="411" t="s">
        <v>725</v>
      </c>
      <c r="D204" s="410" t="s">
        <v>843</v>
      </c>
      <c r="E204" s="412">
        <v>37733</v>
      </c>
    </row>
    <row r="205" spans="1:5" ht="15">
      <c r="A205" s="411">
        <v>209630</v>
      </c>
      <c r="B205" s="411">
        <v>8000</v>
      </c>
      <c r="C205" s="411" t="s">
        <v>721</v>
      </c>
      <c r="D205" s="410" t="s">
        <v>844</v>
      </c>
      <c r="E205" s="412">
        <v>609679.01</v>
      </c>
    </row>
    <row r="206" spans="1:5" ht="15">
      <c r="A206" s="411">
        <v>209640</v>
      </c>
      <c r="B206" s="411">
        <v>8000</v>
      </c>
      <c r="C206" s="411" t="s">
        <v>721</v>
      </c>
      <c r="D206" s="410" t="s">
        <v>845</v>
      </c>
      <c r="E206" s="412">
        <v>0</v>
      </c>
    </row>
    <row r="207" spans="1:5" ht="15">
      <c r="A207" s="411">
        <v>209640</v>
      </c>
      <c r="B207" s="411">
        <v>8100</v>
      </c>
      <c r="C207" s="411" t="s">
        <v>725</v>
      </c>
      <c r="D207" s="410" t="s">
        <v>845</v>
      </c>
      <c r="E207" s="412">
        <v>0</v>
      </c>
    </row>
    <row r="208" spans="1:5" ht="15">
      <c r="A208" s="411">
        <v>209650</v>
      </c>
      <c r="B208" s="411">
        <v>8000</v>
      </c>
      <c r="C208" s="411" t="s">
        <v>721</v>
      </c>
      <c r="D208" s="410" t="s">
        <v>846</v>
      </c>
      <c r="E208" s="412">
        <v>829959.99</v>
      </c>
    </row>
    <row r="209" spans="1:5" ht="15">
      <c r="A209" s="411">
        <v>209650</v>
      </c>
      <c r="B209" s="411">
        <v>8100</v>
      </c>
      <c r="C209" s="411" t="s">
        <v>725</v>
      </c>
      <c r="D209" s="410" t="s">
        <v>846</v>
      </c>
      <c r="E209" s="412">
        <v>788047.92</v>
      </c>
    </row>
    <row r="210" spans="1:5" ht="15">
      <c r="A210" s="411">
        <v>209660</v>
      </c>
      <c r="B210" s="411">
        <v>8000</v>
      </c>
      <c r="C210" s="411" t="s">
        <v>721</v>
      </c>
      <c r="D210" s="410" t="s">
        <v>847</v>
      </c>
      <c r="E210" s="412">
        <v>10350464.439999999</v>
      </c>
    </row>
    <row r="211" spans="1:5" ht="15">
      <c r="A211" s="411">
        <v>209660</v>
      </c>
      <c r="B211" s="411">
        <v>8100</v>
      </c>
      <c r="C211" s="411" t="s">
        <v>725</v>
      </c>
      <c r="D211" s="410" t="s">
        <v>847</v>
      </c>
      <c r="E211" s="412">
        <v>2154605.96</v>
      </c>
    </row>
    <row r="212" spans="1:5" ht="15">
      <c r="A212" s="411">
        <v>209670</v>
      </c>
      <c r="B212" s="411">
        <v>8000</v>
      </c>
      <c r="C212" s="411" t="s">
        <v>721</v>
      </c>
      <c r="D212" s="410" t="s">
        <v>848</v>
      </c>
      <c r="E212" s="412">
        <v>42467238</v>
      </c>
    </row>
    <row r="213" spans="1:5" ht="15">
      <c r="A213" s="411">
        <v>209680</v>
      </c>
      <c r="B213" s="411">
        <v>8000</v>
      </c>
      <c r="C213" s="411" t="s">
        <v>721</v>
      </c>
      <c r="D213" s="410" t="s">
        <v>849</v>
      </c>
      <c r="E213" s="412">
        <v>5125356</v>
      </c>
    </row>
    <row r="214" spans="1:5" ht="15">
      <c r="A214" s="411">
        <v>209690</v>
      </c>
      <c r="B214" s="411">
        <v>8000</v>
      </c>
      <c r="C214" s="411" t="s">
        <v>721</v>
      </c>
      <c r="D214" s="410" t="s">
        <v>850</v>
      </c>
      <c r="E214" s="412">
        <v>4474598</v>
      </c>
    </row>
    <row r="215" spans="1:5" ht="15">
      <c r="A215" s="411">
        <v>210100</v>
      </c>
      <c r="B215" s="411">
        <v>8000</v>
      </c>
      <c r="C215" s="411" t="s">
        <v>721</v>
      </c>
      <c r="D215" s="410" t="s">
        <v>851</v>
      </c>
      <c r="E215" s="412">
        <v>0</v>
      </c>
    </row>
    <row r="216" spans="1:5" ht="15">
      <c r="A216" s="411">
        <v>210180</v>
      </c>
      <c r="B216" s="411">
        <v>8000</v>
      </c>
      <c r="C216" s="411" t="s">
        <v>721</v>
      </c>
      <c r="D216" s="410" t="s">
        <v>852</v>
      </c>
      <c r="E216" s="412">
        <v>-961130</v>
      </c>
    </row>
    <row r="217" spans="1:5" ht="15">
      <c r="A217" s="411">
        <v>211010</v>
      </c>
      <c r="B217" s="411">
        <v>8000</v>
      </c>
      <c r="C217" s="411" t="s">
        <v>721</v>
      </c>
      <c r="D217" s="410" t="s">
        <v>853</v>
      </c>
      <c r="E217" s="412">
        <v>-11465502.689999999</v>
      </c>
    </row>
    <row r="218" spans="1:5" ht="15">
      <c r="A218" s="411">
        <v>211010</v>
      </c>
      <c r="B218" s="411">
        <v>8100</v>
      </c>
      <c r="C218" s="411" t="s">
        <v>725</v>
      </c>
      <c r="D218" s="410" t="s">
        <v>853</v>
      </c>
      <c r="E218" s="412">
        <v>0</v>
      </c>
    </row>
    <row r="219" spans="1:5" ht="15">
      <c r="A219" s="411">
        <v>212020</v>
      </c>
      <c r="B219" s="411">
        <v>8000</v>
      </c>
      <c r="C219" s="411" t="s">
        <v>721</v>
      </c>
      <c r="D219" s="410" t="s">
        <v>854</v>
      </c>
      <c r="E219" s="412">
        <v>-81336319.790000007</v>
      </c>
    </row>
    <row r="220" spans="1:5" ht="15">
      <c r="A220" s="411">
        <v>212020</v>
      </c>
      <c r="B220" s="411">
        <v>8100</v>
      </c>
      <c r="C220" s="411" t="s">
        <v>725</v>
      </c>
      <c r="D220" s="410" t="s">
        <v>854</v>
      </c>
      <c r="E220" s="412">
        <v>-18150162.140000001</v>
      </c>
    </row>
    <row r="221" spans="1:5" ht="15">
      <c r="A221" s="411">
        <v>212040</v>
      </c>
      <c r="B221" s="411">
        <v>8000</v>
      </c>
      <c r="C221" s="411" t="s">
        <v>721</v>
      </c>
      <c r="D221" s="410" t="s">
        <v>855</v>
      </c>
      <c r="E221" s="412">
        <v>-6358872.2400000002</v>
      </c>
    </row>
    <row r="222" spans="1:5" ht="15">
      <c r="A222" s="411">
        <v>212050</v>
      </c>
      <c r="B222" s="411">
        <v>8000</v>
      </c>
      <c r="C222" s="411" t="s">
        <v>721</v>
      </c>
      <c r="D222" s="410" t="s">
        <v>856</v>
      </c>
      <c r="E222" s="412">
        <v>-16251.75</v>
      </c>
    </row>
    <row r="223" spans="1:5" ht="15">
      <c r="A223" s="411">
        <v>212050</v>
      </c>
      <c r="B223" s="411">
        <v>8100</v>
      </c>
      <c r="C223" s="411" t="s">
        <v>725</v>
      </c>
      <c r="D223" s="410" t="s">
        <v>856</v>
      </c>
      <c r="E223" s="412">
        <v>-37369.449999999997</v>
      </c>
    </row>
    <row r="224" spans="1:5" ht="15">
      <c r="A224" s="411">
        <v>212070</v>
      </c>
      <c r="B224" s="411">
        <v>8000</v>
      </c>
      <c r="C224" s="411" t="s">
        <v>721</v>
      </c>
      <c r="D224" s="410" t="s">
        <v>857</v>
      </c>
      <c r="E224" s="412">
        <v>-386629.4</v>
      </c>
    </row>
    <row r="225" spans="1:5" ht="15">
      <c r="A225" s="411">
        <v>212070</v>
      </c>
      <c r="B225" s="411">
        <v>8100</v>
      </c>
      <c r="C225" s="411" t="s">
        <v>725</v>
      </c>
      <c r="D225" s="410" t="s">
        <v>857</v>
      </c>
      <c r="E225" s="412">
        <v>0</v>
      </c>
    </row>
    <row r="226" spans="1:5" ht="15">
      <c r="A226" s="411">
        <v>213020</v>
      </c>
      <c r="B226" s="411">
        <v>8000</v>
      </c>
      <c r="C226" s="411" t="s">
        <v>721</v>
      </c>
      <c r="D226" s="410" t="s">
        <v>858</v>
      </c>
      <c r="E226" s="412">
        <v>-152226.65</v>
      </c>
    </row>
    <row r="227" spans="1:5" ht="15">
      <c r="A227" s="411">
        <v>213040</v>
      </c>
      <c r="B227" s="411">
        <v>8100</v>
      </c>
      <c r="C227" s="411" t="s">
        <v>725</v>
      </c>
      <c r="D227" s="410" t="s">
        <v>859</v>
      </c>
      <c r="E227" s="412">
        <v>-323079.15999999997</v>
      </c>
    </row>
    <row r="228" spans="1:5" ht="15">
      <c r="A228" s="411">
        <v>214010</v>
      </c>
      <c r="B228" s="411">
        <v>8100</v>
      </c>
      <c r="C228" s="411" t="s">
        <v>725</v>
      </c>
      <c r="D228" s="410" t="s">
        <v>860</v>
      </c>
      <c r="E228" s="412">
        <v>-296633.59000000003</v>
      </c>
    </row>
    <row r="229" spans="1:5" ht="15">
      <c r="A229" s="411">
        <v>214020</v>
      </c>
      <c r="B229" s="411">
        <v>8100</v>
      </c>
      <c r="C229" s="411" t="s">
        <v>725</v>
      </c>
      <c r="D229" s="410" t="s">
        <v>861</v>
      </c>
      <c r="E229" s="412">
        <v>-54756.3</v>
      </c>
    </row>
    <row r="230" spans="1:5" ht="15">
      <c r="A230" s="411">
        <v>214040</v>
      </c>
      <c r="B230" s="411">
        <v>8000</v>
      </c>
      <c r="C230" s="411" t="s">
        <v>721</v>
      </c>
      <c r="D230" s="410" t="s">
        <v>862</v>
      </c>
      <c r="E230" s="412">
        <v>-395262.75</v>
      </c>
    </row>
    <row r="231" spans="1:5" ht="15">
      <c r="A231" s="411">
        <v>214040</v>
      </c>
      <c r="B231" s="411">
        <v>8100</v>
      </c>
      <c r="C231" s="411" t="s">
        <v>725</v>
      </c>
      <c r="D231" s="410" t="s">
        <v>862</v>
      </c>
      <c r="E231" s="412">
        <v>-1920762.39</v>
      </c>
    </row>
    <row r="232" spans="1:5" ht="15">
      <c r="A232" s="411">
        <v>215010</v>
      </c>
      <c r="B232" s="411">
        <v>8000</v>
      </c>
      <c r="C232" s="411" t="s">
        <v>721</v>
      </c>
      <c r="D232" s="410" t="s">
        <v>863</v>
      </c>
      <c r="E232" s="412">
        <v>-6678355.8099999996</v>
      </c>
    </row>
    <row r="233" spans="1:5" ht="15">
      <c r="A233" s="411">
        <v>215010</v>
      </c>
      <c r="B233" s="411">
        <v>8100</v>
      </c>
      <c r="C233" s="411" t="s">
        <v>725</v>
      </c>
      <c r="D233" s="410" t="s">
        <v>863</v>
      </c>
      <c r="E233" s="412">
        <v>0</v>
      </c>
    </row>
    <row r="234" spans="1:5" ht="15">
      <c r="A234" s="411">
        <v>215060</v>
      </c>
      <c r="B234" s="411">
        <v>8000</v>
      </c>
      <c r="C234" s="411" t="s">
        <v>721</v>
      </c>
      <c r="D234" s="410" t="s">
        <v>864</v>
      </c>
      <c r="E234" s="412">
        <v>0</v>
      </c>
    </row>
    <row r="235" spans="1:5" ht="15">
      <c r="A235" s="411">
        <v>215060</v>
      </c>
      <c r="B235" s="411">
        <v>8100</v>
      </c>
      <c r="C235" s="411" t="s">
        <v>725</v>
      </c>
      <c r="D235" s="410" t="s">
        <v>864</v>
      </c>
      <c r="E235" s="412">
        <v>-4615594.54</v>
      </c>
    </row>
    <row r="236" spans="1:5" ht="15">
      <c r="A236" s="411">
        <v>215070</v>
      </c>
      <c r="B236" s="411">
        <v>8000</v>
      </c>
      <c r="C236" s="411" t="s">
        <v>721</v>
      </c>
      <c r="D236" s="410" t="s">
        <v>865</v>
      </c>
      <c r="E236" s="412">
        <v>-553673.80000000005</v>
      </c>
    </row>
    <row r="237" spans="1:5" ht="15">
      <c r="A237" s="411">
        <v>216010</v>
      </c>
      <c r="B237" s="411">
        <v>8000</v>
      </c>
      <c r="C237" s="411" t="s">
        <v>721</v>
      </c>
      <c r="D237" s="410" t="s">
        <v>866</v>
      </c>
      <c r="E237" s="412">
        <v>-86197.45</v>
      </c>
    </row>
    <row r="238" spans="1:5" ht="15">
      <c r="A238" s="411">
        <v>216050</v>
      </c>
      <c r="B238" s="411">
        <v>8000</v>
      </c>
      <c r="C238" s="411" t="s">
        <v>721</v>
      </c>
      <c r="D238" s="410" t="s">
        <v>867</v>
      </c>
      <c r="E238" s="412">
        <v>-2453697.23</v>
      </c>
    </row>
    <row r="239" spans="1:5" ht="15">
      <c r="A239" s="411">
        <v>216050</v>
      </c>
      <c r="B239" s="411">
        <v>8100</v>
      </c>
      <c r="C239" s="411" t="s">
        <v>725</v>
      </c>
      <c r="D239" s="410" t="s">
        <v>867</v>
      </c>
      <c r="E239" s="412">
        <v>-4556450.04</v>
      </c>
    </row>
    <row r="240" spans="1:5" ht="15">
      <c r="A240" s="411">
        <v>216060</v>
      </c>
      <c r="B240" s="411">
        <v>8100</v>
      </c>
      <c r="C240" s="411" t="s">
        <v>725</v>
      </c>
      <c r="D240" s="410" t="s">
        <v>868</v>
      </c>
      <c r="E240" s="412">
        <v>-2983.32</v>
      </c>
    </row>
    <row r="241" spans="1:5" ht="15">
      <c r="A241" s="411">
        <v>216070</v>
      </c>
      <c r="B241" s="411">
        <v>8000</v>
      </c>
      <c r="C241" s="411" t="s">
        <v>721</v>
      </c>
      <c r="D241" s="410" t="s">
        <v>869</v>
      </c>
      <c r="E241" s="412">
        <v>-532899572.31</v>
      </c>
    </row>
    <row r="242" spans="1:5" ht="15">
      <c r="A242" s="411">
        <v>216070</v>
      </c>
      <c r="B242" s="411">
        <v>8100</v>
      </c>
      <c r="C242" s="411" t="s">
        <v>725</v>
      </c>
      <c r="D242" s="410" t="s">
        <v>869</v>
      </c>
      <c r="E242" s="412">
        <v>-56479812.020000003</v>
      </c>
    </row>
    <row r="243" spans="1:5" ht="15">
      <c r="A243" s="411">
        <v>216080</v>
      </c>
      <c r="B243" s="411">
        <v>8000</v>
      </c>
      <c r="C243" s="411" t="s">
        <v>721</v>
      </c>
      <c r="D243" s="410" t="s">
        <v>870</v>
      </c>
      <c r="E243" s="412">
        <v>-1996995.87</v>
      </c>
    </row>
    <row r="244" spans="1:5" ht="15">
      <c r="A244" s="411">
        <v>216080</v>
      </c>
      <c r="B244" s="411">
        <v>8100</v>
      </c>
      <c r="C244" s="411" t="s">
        <v>725</v>
      </c>
      <c r="D244" s="410" t="s">
        <v>870</v>
      </c>
      <c r="E244" s="412">
        <v>-7813693.04</v>
      </c>
    </row>
    <row r="245" spans="1:5" ht="15">
      <c r="A245" s="411">
        <v>216090</v>
      </c>
      <c r="B245" s="411">
        <v>8000</v>
      </c>
      <c r="C245" s="411" t="s">
        <v>721</v>
      </c>
      <c r="D245" s="410" t="s">
        <v>871</v>
      </c>
      <c r="E245" s="412">
        <v>-1064895.73</v>
      </c>
    </row>
    <row r="246" spans="1:5" ht="15">
      <c r="A246" s="411">
        <v>216090</v>
      </c>
      <c r="B246" s="411">
        <v>8100</v>
      </c>
      <c r="C246" s="411" t="s">
        <v>725</v>
      </c>
      <c r="D246" s="410" t="s">
        <v>871</v>
      </c>
      <c r="E246" s="412">
        <v>-199241.16</v>
      </c>
    </row>
    <row r="247" spans="1:5" ht="15">
      <c r="A247" s="411">
        <v>216100</v>
      </c>
      <c r="B247" s="411">
        <v>8000</v>
      </c>
      <c r="C247" s="411" t="s">
        <v>721</v>
      </c>
      <c r="D247" s="410" t="s">
        <v>872</v>
      </c>
      <c r="E247" s="412">
        <v>-10690371.51</v>
      </c>
    </row>
    <row r="248" spans="1:5" ht="15">
      <c r="A248" s="411">
        <v>216100</v>
      </c>
      <c r="B248" s="411">
        <v>8100</v>
      </c>
      <c r="C248" s="411" t="s">
        <v>725</v>
      </c>
      <c r="D248" s="410" t="s">
        <v>872</v>
      </c>
      <c r="E248" s="412">
        <v>-229310.64</v>
      </c>
    </row>
    <row r="249" spans="1:5" ht="15">
      <c r="A249" s="411">
        <v>216110</v>
      </c>
      <c r="B249" s="411">
        <v>8000</v>
      </c>
      <c r="C249" s="411" t="s">
        <v>721</v>
      </c>
      <c r="D249" s="410" t="s">
        <v>873</v>
      </c>
      <c r="E249" s="412">
        <v>-586957.06999999995</v>
      </c>
    </row>
    <row r="250" spans="1:5" ht="15">
      <c r="A250" s="411">
        <v>216110</v>
      </c>
      <c r="B250" s="411">
        <v>8100</v>
      </c>
      <c r="C250" s="411" t="s">
        <v>725</v>
      </c>
      <c r="D250" s="410" t="s">
        <v>873</v>
      </c>
      <c r="E250" s="412">
        <v>-46440</v>
      </c>
    </row>
    <row r="251" spans="1:5" ht="15">
      <c r="A251" s="411">
        <v>216120</v>
      </c>
      <c r="B251" s="411">
        <v>8000</v>
      </c>
      <c r="C251" s="411" t="s">
        <v>721</v>
      </c>
      <c r="D251" s="410" t="s">
        <v>874</v>
      </c>
      <c r="E251" s="412">
        <v>-49825.25</v>
      </c>
    </row>
    <row r="252" spans="1:5" ht="15">
      <c r="A252" s="411">
        <v>216120</v>
      </c>
      <c r="B252" s="411">
        <v>8100</v>
      </c>
      <c r="C252" s="411" t="s">
        <v>725</v>
      </c>
      <c r="D252" s="410" t="s">
        <v>874</v>
      </c>
      <c r="E252" s="412">
        <v>-30032.42</v>
      </c>
    </row>
    <row r="253" spans="1:5" ht="15">
      <c r="A253" s="411">
        <v>216130</v>
      </c>
      <c r="B253" s="411">
        <v>8000</v>
      </c>
      <c r="C253" s="411" t="s">
        <v>721</v>
      </c>
      <c r="D253" s="410" t="s">
        <v>875</v>
      </c>
      <c r="E253" s="412">
        <v>-33797.65</v>
      </c>
    </row>
    <row r="254" spans="1:5" ht="15">
      <c r="A254" s="411">
        <v>216130</v>
      </c>
      <c r="B254" s="411">
        <v>8100</v>
      </c>
      <c r="C254" s="411" t="s">
        <v>725</v>
      </c>
      <c r="D254" s="410" t="s">
        <v>875</v>
      </c>
      <c r="E254" s="412">
        <v>-3311653.41</v>
      </c>
    </row>
    <row r="255" spans="1:5" ht="15">
      <c r="A255" s="411">
        <v>216150</v>
      </c>
      <c r="B255" s="411">
        <v>8100</v>
      </c>
      <c r="C255" s="411" t="s">
        <v>725</v>
      </c>
      <c r="D255" s="410" t="s">
        <v>876</v>
      </c>
      <c r="E255" s="412">
        <v>-409694.18</v>
      </c>
    </row>
    <row r="256" spans="1:5" ht="15">
      <c r="A256" s="411">
        <v>216200</v>
      </c>
      <c r="B256" s="411">
        <v>8000</v>
      </c>
      <c r="C256" s="411" t="s">
        <v>721</v>
      </c>
      <c r="D256" s="410" t="s">
        <v>877</v>
      </c>
      <c r="E256" s="412">
        <v>-6188519.9900000002</v>
      </c>
    </row>
    <row r="257" spans="1:5" ht="15">
      <c r="A257" s="411">
        <v>216200</v>
      </c>
      <c r="B257" s="411">
        <v>8100</v>
      </c>
      <c r="C257" s="411" t="s">
        <v>725</v>
      </c>
      <c r="D257" s="410" t="s">
        <v>877</v>
      </c>
      <c r="E257" s="412">
        <v>-685462.49</v>
      </c>
    </row>
    <row r="258" spans="1:5" ht="15">
      <c r="A258" s="411">
        <v>218010</v>
      </c>
      <c r="B258" s="411">
        <v>8000</v>
      </c>
      <c r="C258" s="411" t="s">
        <v>721</v>
      </c>
      <c r="D258" s="410" t="s">
        <v>878</v>
      </c>
      <c r="E258" s="412">
        <v>-14010.19</v>
      </c>
    </row>
    <row r="259" spans="1:5" ht="15">
      <c r="A259" s="411">
        <v>218010</v>
      </c>
      <c r="B259" s="411">
        <v>8100</v>
      </c>
      <c r="C259" s="411" t="s">
        <v>725</v>
      </c>
      <c r="D259" s="410" t="s">
        <v>878</v>
      </c>
      <c r="E259" s="412">
        <v>-534616.24</v>
      </c>
    </row>
    <row r="260" spans="1:5" ht="15">
      <c r="A260" s="411">
        <v>218050</v>
      </c>
      <c r="B260" s="411">
        <v>8000</v>
      </c>
      <c r="C260" s="411" t="s">
        <v>721</v>
      </c>
      <c r="D260" s="410" t="s">
        <v>879</v>
      </c>
      <c r="E260" s="412">
        <v>-558252.63</v>
      </c>
    </row>
    <row r="261" spans="1:5" ht="15">
      <c r="A261" s="411">
        <v>218050</v>
      </c>
      <c r="B261" s="411">
        <v>8100</v>
      </c>
      <c r="C261" s="411" t="s">
        <v>725</v>
      </c>
      <c r="D261" s="410" t="s">
        <v>879</v>
      </c>
      <c r="E261" s="412">
        <v>-110886</v>
      </c>
    </row>
    <row r="262" spans="1:5" ht="15">
      <c r="A262" s="411">
        <v>218060</v>
      </c>
      <c r="B262" s="411">
        <v>8000</v>
      </c>
      <c r="C262" s="411" t="s">
        <v>721</v>
      </c>
      <c r="D262" s="410" t="s">
        <v>880</v>
      </c>
      <c r="E262" s="412">
        <v>-350961.25</v>
      </c>
    </row>
    <row r="263" spans="1:5" ht="15">
      <c r="A263" s="411">
        <v>219030</v>
      </c>
      <c r="B263" s="411">
        <v>8000</v>
      </c>
      <c r="C263" s="411" t="s">
        <v>721</v>
      </c>
      <c r="D263" s="410" t="s">
        <v>881</v>
      </c>
      <c r="E263" s="412">
        <v>-519664.11</v>
      </c>
    </row>
    <row r="264" spans="1:5" ht="15">
      <c r="A264" s="411">
        <v>219030</v>
      </c>
      <c r="B264" s="411">
        <v>8100</v>
      </c>
      <c r="C264" s="411" t="s">
        <v>725</v>
      </c>
      <c r="D264" s="410" t="s">
        <v>881</v>
      </c>
      <c r="E264" s="412">
        <v>0</v>
      </c>
    </row>
    <row r="265" spans="1:5" ht="15">
      <c r="A265" s="411">
        <v>219310</v>
      </c>
      <c r="B265" s="411">
        <v>8000</v>
      </c>
      <c r="C265" s="411" t="s">
        <v>721</v>
      </c>
      <c r="D265" s="410" t="s">
        <v>882</v>
      </c>
      <c r="E265" s="412">
        <v>-2439757.39</v>
      </c>
    </row>
    <row r="266" spans="1:5" ht="15">
      <c r="A266" s="411">
        <v>219310</v>
      </c>
      <c r="B266" s="411">
        <v>8100</v>
      </c>
      <c r="C266" s="411" t="s">
        <v>725</v>
      </c>
      <c r="D266" s="410" t="s">
        <v>882</v>
      </c>
      <c r="E266" s="412">
        <v>-1820054.23</v>
      </c>
    </row>
    <row r="267" spans="1:5" ht="15">
      <c r="A267" s="411">
        <v>219320</v>
      </c>
      <c r="B267" s="411">
        <v>8000</v>
      </c>
      <c r="C267" s="411" t="s">
        <v>721</v>
      </c>
      <c r="D267" s="410" t="s">
        <v>883</v>
      </c>
      <c r="E267" s="412">
        <v>-12906662.970000001</v>
      </c>
    </row>
    <row r="268" spans="1:5" ht="15">
      <c r="A268" s="411">
        <v>219320</v>
      </c>
      <c r="B268" s="411">
        <v>8100</v>
      </c>
      <c r="C268" s="411" t="s">
        <v>725</v>
      </c>
      <c r="D268" s="410" t="s">
        <v>883</v>
      </c>
      <c r="E268" s="412">
        <v>-1897438.71</v>
      </c>
    </row>
    <row r="269" spans="1:5" ht="15">
      <c r="A269" s="411">
        <v>219510</v>
      </c>
      <c r="B269" s="411">
        <v>8000</v>
      </c>
      <c r="C269" s="411" t="s">
        <v>721</v>
      </c>
      <c r="D269" s="410" t="s">
        <v>884</v>
      </c>
      <c r="E269" s="412">
        <v>-28295333.399999999</v>
      </c>
    </row>
    <row r="270" spans="1:5" ht="15">
      <c r="A270" s="411">
        <v>219510</v>
      </c>
      <c r="B270" s="411">
        <v>8100</v>
      </c>
      <c r="C270" s="411" t="s">
        <v>725</v>
      </c>
      <c r="D270" s="410" t="s">
        <v>884</v>
      </c>
      <c r="E270" s="412">
        <v>0</v>
      </c>
    </row>
    <row r="271" spans="1:5" ht="15">
      <c r="A271" s="411">
        <v>219610</v>
      </c>
      <c r="B271" s="411">
        <v>8000</v>
      </c>
      <c r="C271" s="411" t="s">
        <v>721</v>
      </c>
      <c r="D271" s="410" t="s">
        <v>885</v>
      </c>
      <c r="E271" s="412">
        <v>-23040770.149999999</v>
      </c>
    </row>
    <row r="272" spans="1:5" ht="15">
      <c r="A272" s="411">
        <v>219610</v>
      </c>
      <c r="B272" s="411">
        <v>8100</v>
      </c>
      <c r="C272" s="411" t="s">
        <v>725</v>
      </c>
      <c r="D272" s="410" t="s">
        <v>885</v>
      </c>
      <c r="E272" s="412">
        <v>-1253659.94</v>
      </c>
    </row>
    <row r="273" spans="1:5" ht="15">
      <c r="A273" s="411">
        <v>219620</v>
      </c>
      <c r="B273" s="411">
        <v>8000</v>
      </c>
      <c r="C273" s="411" t="s">
        <v>721</v>
      </c>
      <c r="D273" s="410" t="s">
        <v>886</v>
      </c>
      <c r="E273" s="412">
        <v>-52629.56</v>
      </c>
    </row>
    <row r="274" spans="1:5" ht="15">
      <c r="A274" s="411">
        <v>219620</v>
      </c>
      <c r="B274" s="411">
        <v>8100</v>
      </c>
      <c r="C274" s="411" t="s">
        <v>725</v>
      </c>
      <c r="D274" s="410" t="s">
        <v>886</v>
      </c>
      <c r="E274" s="412">
        <v>-31953.06</v>
      </c>
    </row>
    <row r="275" spans="1:5" ht="15">
      <c r="A275" s="411">
        <v>219630</v>
      </c>
      <c r="B275" s="411">
        <v>8000</v>
      </c>
      <c r="C275" s="411" t="s">
        <v>721</v>
      </c>
      <c r="D275" s="410" t="s">
        <v>887</v>
      </c>
      <c r="E275" s="412">
        <v>-188474.29</v>
      </c>
    </row>
    <row r="276" spans="1:5" ht="15">
      <c r="A276" s="411">
        <v>219640</v>
      </c>
      <c r="B276" s="411">
        <v>8000</v>
      </c>
      <c r="C276" s="411" t="s">
        <v>721</v>
      </c>
      <c r="D276" s="410" t="s">
        <v>888</v>
      </c>
      <c r="E276" s="412">
        <v>0</v>
      </c>
    </row>
    <row r="277" spans="1:5" ht="15">
      <c r="A277" s="411">
        <v>219650</v>
      </c>
      <c r="B277" s="411">
        <v>8000</v>
      </c>
      <c r="C277" s="411" t="s">
        <v>721</v>
      </c>
      <c r="D277" s="410" t="s">
        <v>889</v>
      </c>
      <c r="E277" s="412">
        <v>-398627.26</v>
      </c>
    </row>
    <row r="278" spans="1:5" ht="15">
      <c r="A278" s="411">
        <v>219650</v>
      </c>
      <c r="B278" s="411">
        <v>8100</v>
      </c>
      <c r="C278" s="411" t="s">
        <v>725</v>
      </c>
      <c r="D278" s="410" t="s">
        <v>889</v>
      </c>
      <c r="E278" s="412">
        <v>-59164.480000000003</v>
      </c>
    </row>
    <row r="279" spans="1:5" ht="15">
      <c r="A279" s="411">
        <v>219660</v>
      </c>
      <c r="B279" s="411">
        <v>8000</v>
      </c>
      <c r="C279" s="411" t="s">
        <v>721</v>
      </c>
      <c r="D279" s="410" t="s">
        <v>890</v>
      </c>
      <c r="E279" s="412">
        <v>-8898815.6899999995</v>
      </c>
    </row>
    <row r="280" spans="1:5" ht="15">
      <c r="A280" s="411">
        <v>219660</v>
      </c>
      <c r="B280" s="411">
        <v>8100</v>
      </c>
      <c r="C280" s="411" t="s">
        <v>725</v>
      </c>
      <c r="D280" s="410" t="s">
        <v>890</v>
      </c>
      <c r="E280" s="412">
        <v>-1877729.06</v>
      </c>
    </row>
    <row r="281" spans="1:5" ht="15">
      <c r="A281" s="411">
        <v>219670</v>
      </c>
      <c r="B281" s="411">
        <v>8000</v>
      </c>
      <c r="C281" s="411" t="s">
        <v>721</v>
      </c>
      <c r="D281" s="410" t="s">
        <v>891</v>
      </c>
      <c r="E281" s="412">
        <v>-29743064.109999999</v>
      </c>
    </row>
    <row r="282" spans="1:5" ht="15">
      <c r="A282" s="411">
        <v>219680</v>
      </c>
      <c r="B282" s="411">
        <v>8000</v>
      </c>
      <c r="C282" s="411" t="s">
        <v>721</v>
      </c>
      <c r="D282" s="410" t="s">
        <v>892</v>
      </c>
      <c r="E282" s="412">
        <v>-3589680.13</v>
      </c>
    </row>
    <row r="283" spans="1:5" ht="15">
      <c r="A283" s="411">
        <v>219690</v>
      </c>
      <c r="B283" s="411">
        <v>8000</v>
      </c>
      <c r="C283" s="411" t="s">
        <v>721</v>
      </c>
      <c r="D283" s="410" t="s">
        <v>893</v>
      </c>
      <c r="E283" s="412">
        <v>-3133903.81</v>
      </c>
    </row>
    <row r="284" spans="1:5" ht="15">
      <c r="A284" s="411">
        <v>219701</v>
      </c>
      <c r="B284" s="411">
        <v>8000</v>
      </c>
      <c r="C284" s="411" t="s">
        <v>721</v>
      </c>
      <c r="D284" s="410" t="s">
        <v>894</v>
      </c>
      <c r="E284" s="412">
        <v>0</v>
      </c>
    </row>
    <row r="285" spans="1:5" ht="15">
      <c r="A285" s="411">
        <v>219701</v>
      </c>
      <c r="B285" s="411">
        <v>8100</v>
      </c>
      <c r="C285" s="411" t="s">
        <v>725</v>
      </c>
      <c r="D285" s="410" t="s">
        <v>894</v>
      </c>
      <c r="E285" s="412">
        <v>0</v>
      </c>
    </row>
    <row r="286" spans="1:5" ht="15">
      <c r="A286" s="411">
        <v>221020</v>
      </c>
      <c r="B286" s="411">
        <v>8000</v>
      </c>
      <c r="C286" s="411" t="s">
        <v>721</v>
      </c>
      <c r="D286" s="410" t="s">
        <v>895</v>
      </c>
      <c r="E286" s="412">
        <v>0</v>
      </c>
    </row>
    <row r="287" spans="1:5" ht="15">
      <c r="A287" s="411">
        <v>221020</v>
      </c>
      <c r="B287" s="411">
        <v>8100</v>
      </c>
      <c r="C287" s="411" t="s">
        <v>725</v>
      </c>
      <c r="D287" s="410" t="s">
        <v>895</v>
      </c>
      <c r="E287" s="412">
        <v>0</v>
      </c>
    </row>
    <row r="288" spans="1:5" ht="15">
      <c r="A288" s="411">
        <v>222010</v>
      </c>
      <c r="B288" s="411">
        <v>8000</v>
      </c>
      <c r="C288" s="411" t="s">
        <v>721</v>
      </c>
      <c r="D288" s="410" t="s">
        <v>896</v>
      </c>
      <c r="E288" s="412">
        <v>0</v>
      </c>
    </row>
    <row r="289" spans="1:5" ht="15">
      <c r="A289" s="411">
        <v>222010</v>
      </c>
      <c r="B289" s="411">
        <v>8100</v>
      </c>
      <c r="C289" s="411" t="s">
        <v>725</v>
      </c>
      <c r="D289" s="410" t="s">
        <v>896</v>
      </c>
      <c r="E289" s="412">
        <v>0</v>
      </c>
    </row>
    <row r="290" spans="1:5" ht="15">
      <c r="A290" s="411">
        <v>232010</v>
      </c>
      <c r="B290" s="411">
        <v>8000</v>
      </c>
      <c r="C290" s="411" t="s">
        <v>721</v>
      </c>
      <c r="D290" s="410" t="s">
        <v>897</v>
      </c>
      <c r="E290" s="412">
        <v>3808189.15</v>
      </c>
    </row>
    <row r="291" spans="1:5" ht="15">
      <c r="A291" s="411">
        <v>235010</v>
      </c>
      <c r="B291" s="411">
        <v>8000</v>
      </c>
      <c r="C291" s="411" t="s">
        <v>721</v>
      </c>
      <c r="D291" s="410" t="s">
        <v>898</v>
      </c>
      <c r="E291" s="412">
        <v>1392623.34</v>
      </c>
    </row>
    <row r="292" spans="1:5" ht="15">
      <c r="A292" s="411">
        <v>237010</v>
      </c>
      <c r="B292" s="411">
        <v>8000</v>
      </c>
      <c r="C292" s="411" t="s">
        <v>721</v>
      </c>
      <c r="D292" s="410" t="s">
        <v>899</v>
      </c>
      <c r="E292" s="412">
        <v>22271877.48</v>
      </c>
    </row>
    <row r="293" spans="1:5" ht="15">
      <c r="A293" s="411">
        <v>237010</v>
      </c>
      <c r="B293" s="411">
        <v>8100</v>
      </c>
      <c r="C293" s="411" t="s">
        <v>725</v>
      </c>
      <c r="D293" s="410" t="s">
        <v>899</v>
      </c>
      <c r="E293" s="412">
        <v>9199180.8599999994</v>
      </c>
    </row>
    <row r="294" spans="1:5" ht="15">
      <c r="A294" s="411">
        <v>237040</v>
      </c>
      <c r="B294" s="411">
        <v>8000</v>
      </c>
      <c r="C294" s="411" t="s">
        <v>721</v>
      </c>
      <c r="D294" s="410" t="s">
        <v>900</v>
      </c>
      <c r="E294" s="412">
        <v>0.01</v>
      </c>
    </row>
    <row r="295" spans="1:5" ht="15">
      <c r="A295" s="411">
        <v>240100</v>
      </c>
      <c r="B295" s="411">
        <v>8000</v>
      </c>
      <c r="C295" s="411" t="s">
        <v>721</v>
      </c>
      <c r="D295" s="410" t="s">
        <v>901</v>
      </c>
      <c r="E295" s="412">
        <v>682591550.45000005</v>
      </c>
    </row>
    <row r="296" spans="1:5" ht="15">
      <c r="A296" s="411">
        <v>240300</v>
      </c>
      <c r="B296" s="411">
        <v>8000</v>
      </c>
      <c r="C296" s="411" t="s">
        <v>721</v>
      </c>
      <c r="D296" s="410" t="s">
        <v>902</v>
      </c>
      <c r="E296" s="412">
        <v>375408449.55000001</v>
      </c>
    </row>
    <row r="297" spans="1:5" ht="15">
      <c r="A297" s="411">
        <v>250010</v>
      </c>
      <c r="B297" s="411">
        <v>8100</v>
      </c>
      <c r="C297" s="411" t="s">
        <v>725</v>
      </c>
      <c r="D297" s="410" t="s">
        <v>903</v>
      </c>
      <c r="E297" s="412">
        <v>0</v>
      </c>
    </row>
    <row r="298" spans="1:5" ht="15">
      <c r="A298" s="411">
        <v>250040</v>
      </c>
      <c r="B298" s="411">
        <v>8100</v>
      </c>
      <c r="C298" s="411" t="s">
        <v>725</v>
      </c>
      <c r="D298" s="410" t="s">
        <v>904</v>
      </c>
      <c r="E298" s="412">
        <v>0</v>
      </c>
    </row>
    <row r="299" spans="1:5" ht="15">
      <c r="A299" s="411">
        <v>250050</v>
      </c>
      <c r="B299" s="411">
        <v>8000</v>
      </c>
      <c r="C299" s="411" t="s">
        <v>721</v>
      </c>
      <c r="D299" s="410" t="s">
        <v>905</v>
      </c>
      <c r="E299" s="412">
        <v>0</v>
      </c>
    </row>
    <row r="300" spans="1:5" ht="15">
      <c r="A300" s="411">
        <v>250050</v>
      </c>
      <c r="B300" s="411">
        <v>8100</v>
      </c>
      <c r="C300" s="411" t="s">
        <v>725</v>
      </c>
      <c r="D300" s="410" t="s">
        <v>905</v>
      </c>
      <c r="E300" s="412">
        <v>0</v>
      </c>
    </row>
    <row r="301" spans="1:5" ht="15">
      <c r="A301" s="411">
        <v>250080</v>
      </c>
      <c r="B301" s="411">
        <v>8100</v>
      </c>
      <c r="C301" s="411" t="s">
        <v>725</v>
      </c>
      <c r="D301" s="410" t="s">
        <v>906</v>
      </c>
      <c r="E301" s="412">
        <v>78288.320000000007</v>
      </c>
    </row>
    <row r="302" spans="1:5" ht="15">
      <c r="A302" s="411">
        <v>250090</v>
      </c>
      <c r="B302" s="411">
        <v>8000</v>
      </c>
      <c r="C302" s="411" t="s">
        <v>721</v>
      </c>
      <c r="D302" s="410" t="s">
        <v>533</v>
      </c>
      <c r="E302" s="412">
        <v>0</v>
      </c>
    </row>
    <row r="303" spans="1:5" ht="15">
      <c r="A303" s="411">
        <v>250090</v>
      </c>
      <c r="B303" s="411">
        <v>8100</v>
      </c>
      <c r="C303" s="411" t="s">
        <v>725</v>
      </c>
      <c r="D303" s="410" t="s">
        <v>533</v>
      </c>
      <c r="E303" s="412">
        <v>40206.76</v>
      </c>
    </row>
    <row r="304" spans="1:5" ht="15">
      <c r="A304" s="411">
        <v>260030</v>
      </c>
      <c r="B304" s="411">
        <v>8000</v>
      </c>
      <c r="C304" s="411" t="s">
        <v>721</v>
      </c>
      <c r="D304" s="410" t="s">
        <v>907</v>
      </c>
      <c r="E304" s="412">
        <v>0</v>
      </c>
    </row>
    <row r="305" spans="1:5" ht="15">
      <c r="A305" s="411">
        <v>260031</v>
      </c>
      <c r="B305" s="411">
        <v>8000</v>
      </c>
      <c r="C305" s="411" t="s">
        <v>721</v>
      </c>
      <c r="D305" s="410" t="s">
        <v>907</v>
      </c>
      <c r="E305" s="412">
        <v>59414397.200000003</v>
      </c>
    </row>
    <row r="306" spans="1:5" ht="15">
      <c r="A306" s="411">
        <v>260040</v>
      </c>
      <c r="B306" s="411">
        <v>8000</v>
      </c>
      <c r="C306" s="411" t="s">
        <v>721</v>
      </c>
      <c r="D306" s="410" t="s">
        <v>908</v>
      </c>
      <c r="E306" s="412">
        <v>5479218</v>
      </c>
    </row>
    <row r="307" spans="1:5" ht="15">
      <c r="A307" s="411">
        <v>260040</v>
      </c>
      <c r="B307" s="411">
        <v>8100</v>
      </c>
      <c r="C307" s="411" t="s">
        <v>725</v>
      </c>
      <c r="D307" s="410" t="s">
        <v>908</v>
      </c>
      <c r="E307" s="412">
        <v>0</v>
      </c>
    </row>
    <row r="308" spans="1:5" ht="15">
      <c r="A308" s="411">
        <v>260050</v>
      </c>
      <c r="B308" s="411">
        <v>8000</v>
      </c>
      <c r="C308" s="411" t="s">
        <v>721</v>
      </c>
      <c r="D308" s="410" t="s">
        <v>909</v>
      </c>
      <c r="E308" s="412">
        <v>1153846</v>
      </c>
    </row>
    <row r="309" spans="1:5" ht="15">
      <c r="A309" s="411">
        <v>269010</v>
      </c>
      <c r="B309" s="411">
        <v>8000</v>
      </c>
      <c r="C309" s="411" t="s">
        <v>721</v>
      </c>
      <c r="D309" s="410" t="s">
        <v>910</v>
      </c>
      <c r="E309" s="412">
        <v>0</v>
      </c>
    </row>
    <row r="310" spans="1:5" ht="15">
      <c r="A310" s="411">
        <v>270126</v>
      </c>
      <c r="B310" s="411">
        <v>8000</v>
      </c>
      <c r="C310" s="411" t="s">
        <v>721</v>
      </c>
      <c r="D310" s="410" t="s">
        <v>911</v>
      </c>
      <c r="E310" s="412">
        <v>15598</v>
      </c>
    </row>
    <row r="311" spans="1:5" ht="15">
      <c r="A311" s="411">
        <v>270127</v>
      </c>
      <c r="B311" s="411">
        <v>8100</v>
      </c>
      <c r="C311" s="411" t="s">
        <v>725</v>
      </c>
      <c r="D311" s="410" t="s">
        <v>912</v>
      </c>
      <c r="E311" s="412">
        <v>5686</v>
      </c>
    </row>
    <row r="312" spans="1:5" ht="15">
      <c r="A312" s="411">
        <v>280039</v>
      </c>
      <c r="B312" s="411">
        <v>8000</v>
      </c>
      <c r="C312" s="411" t="s">
        <v>721</v>
      </c>
      <c r="D312" s="410" t="s">
        <v>913</v>
      </c>
      <c r="E312" s="412">
        <v>171340622.55000001</v>
      </c>
    </row>
    <row r="313" spans="1:5" ht="15">
      <c r="A313" s="411">
        <v>280039</v>
      </c>
      <c r="B313" s="411">
        <v>8000</v>
      </c>
      <c r="C313" s="411" t="s">
        <v>721</v>
      </c>
      <c r="D313" s="410" t="s">
        <v>913</v>
      </c>
      <c r="E313" s="412">
        <v>106385</v>
      </c>
    </row>
    <row r="314" spans="1:5" ht="15">
      <c r="A314" s="411">
        <v>280072</v>
      </c>
      <c r="B314" s="411">
        <v>8100</v>
      </c>
      <c r="C314" s="411" t="s">
        <v>725</v>
      </c>
      <c r="D314" s="410" t="s">
        <v>914</v>
      </c>
      <c r="E314" s="412">
        <v>0</v>
      </c>
    </row>
    <row r="315" spans="1:5" ht="15">
      <c r="A315" s="411">
        <v>280128</v>
      </c>
      <c r="B315" s="411">
        <v>8000</v>
      </c>
      <c r="C315" s="411" t="s">
        <v>721</v>
      </c>
      <c r="D315" s="410" t="s">
        <v>915</v>
      </c>
      <c r="E315" s="412">
        <v>-9220974.3699999992</v>
      </c>
    </row>
    <row r="316" spans="1:5" ht="15">
      <c r="A316" s="411">
        <v>280128</v>
      </c>
      <c r="B316" s="411">
        <v>8000</v>
      </c>
      <c r="C316" s="411" t="s">
        <v>721</v>
      </c>
      <c r="D316" s="410" t="s">
        <v>915</v>
      </c>
      <c r="E316" s="412">
        <v>-2054035.32</v>
      </c>
    </row>
    <row r="317" spans="1:5" ht="15">
      <c r="A317" s="411">
        <v>280128</v>
      </c>
      <c r="B317" s="411">
        <v>8100</v>
      </c>
      <c r="C317" s="411" t="s">
        <v>725</v>
      </c>
      <c r="D317" s="410" t="s">
        <v>915</v>
      </c>
      <c r="E317" s="412">
        <v>0</v>
      </c>
    </row>
    <row r="318" spans="1:5" ht="15">
      <c r="A318" s="411">
        <v>280134</v>
      </c>
      <c r="B318" s="411">
        <v>8000</v>
      </c>
      <c r="C318" s="411" t="s">
        <v>721</v>
      </c>
      <c r="D318" s="410" t="s">
        <v>916</v>
      </c>
      <c r="E318" s="412">
        <v>5318912.12</v>
      </c>
    </row>
    <row r="319" spans="1:5" ht="15">
      <c r="A319" s="411">
        <v>285039</v>
      </c>
      <c r="B319" s="411">
        <v>8000</v>
      </c>
      <c r="C319" s="411" t="s">
        <v>721</v>
      </c>
      <c r="D319" s="410" t="s">
        <v>917</v>
      </c>
      <c r="E319" s="412">
        <v>332274819.54000002</v>
      </c>
    </row>
    <row r="320" spans="1:5" ht="15">
      <c r="A320" s="411">
        <v>285039</v>
      </c>
      <c r="B320" s="411">
        <v>8000</v>
      </c>
      <c r="C320" s="411" t="s">
        <v>721</v>
      </c>
      <c r="D320" s="410" t="s">
        <v>917</v>
      </c>
      <c r="E320" s="412">
        <v>-330283552.77999997</v>
      </c>
    </row>
    <row r="321" spans="1:5" ht="15">
      <c r="A321" s="411">
        <v>285072</v>
      </c>
      <c r="B321" s="411">
        <v>8100</v>
      </c>
      <c r="C321" s="411" t="s">
        <v>725</v>
      </c>
      <c r="D321" s="410" t="s">
        <v>918</v>
      </c>
      <c r="E321" s="412">
        <v>95730615.950000003</v>
      </c>
    </row>
    <row r="322" spans="1:5" ht="15">
      <c r="A322" s="411">
        <v>285072</v>
      </c>
      <c r="B322" s="411">
        <v>8100</v>
      </c>
      <c r="C322" s="411" t="s">
        <v>725</v>
      </c>
      <c r="D322" s="410" t="s">
        <v>918</v>
      </c>
      <c r="E322" s="412">
        <v>-95613184.950000003</v>
      </c>
    </row>
    <row r="323" spans="1:5" ht="15">
      <c r="A323" s="411">
        <v>285251</v>
      </c>
      <c r="B323" s="411">
        <v>8000</v>
      </c>
      <c r="C323" s="411" t="s">
        <v>721</v>
      </c>
      <c r="D323" s="410" t="s">
        <v>919</v>
      </c>
      <c r="E323" s="412">
        <v>961490.74</v>
      </c>
    </row>
    <row r="324" spans="1:5" ht="15">
      <c r="A324" s="411">
        <v>285310</v>
      </c>
      <c r="B324" s="411">
        <v>8000</v>
      </c>
      <c r="C324" s="411" t="s">
        <v>721</v>
      </c>
      <c r="D324" s="410" t="s">
        <v>920</v>
      </c>
      <c r="E324" s="412">
        <v>765422785.21000004</v>
      </c>
    </row>
    <row r="325" spans="1:5" ht="15">
      <c r="A325" s="411">
        <v>285320</v>
      </c>
      <c r="B325" s="411">
        <v>8000</v>
      </c>
      <c r="C325" s="411" t="s">
        <v>721</v>
      </c>
      <c r="D325" s="410" t="s">
        <v>921</v>
      </c>
      <c r="E325" s="412">
        <v>34158345.390000001</v>
      </c>
    </row>
    <row r="326" spans="1:5" ht="15">
      <c r="A326" s="411">
        <v>285330</v>
      </c>
      <c r="B326" s="411">
        <v>8000</v>
      </c>
      <c r="C326" s="411" t="s">
        <v>721</v>
      </c>
      <c r="D326" s="410" t="s">
        <v>922</v>
      </c>
      <c r="E326" s="412">
        <v>3184887.12</v>
      </c>
    </row>
    <row r="327" spans="1:5" ht="15">
      <c r="A327" s="411">
        <v>285340</v>
      </c>
      <c r="B327" s="411">
        <v>8000</v>
      </c>
      <c r="C327" s="411" t="s">
        <v>721</v>
      </c>
      <c r="D327" s="410" t="s">
        <v>923</v>
      </c>
      <c r="E327" s="412">
        <v>190010.29</v>
      </c>
    </row>
    <row r="328" spans="1:5" ht="15">
      <c r="A328" s="411">
        <v>285350</v>
      </c>
      <c r="B328" s="411">
        <v>8000</v>
      </c>
      <c r="C328" s="411" t="s">
        <v>721</v>
      </c>
      <c r="D328" s="410" t="s">
        <v>804</v>
      </c>
      <c r="E328" s="412">
        <v>142046393.71000001</v>
      </c>
    </row>
    <row r="329" spans="1:5" ht="15">
      <c r="A329" s="411">
        <v>285360</v>
      </c>
      <c r="B329" s="411">
        <v>8000</v>
      </c>
      <c r="C329" s="411" t="s">
        <v>721</v>
      </c>
      <c r="D329" s="410" t="s">
        <v>924</v>
      </c>
      <c r="E329" s="412">
        <v>5298246.7699999996</v>
      </c>
    </row>
    <row r="330" spans="1:5" ht="15">
      <c r="A330" s="411">
        <v>285364</v>
      </c>
      <c r="B330" s="411">
        <v>8000</v>
      </c>
      <c r="C330" s="411" t="s">
        <v>721</v>
      </c>
      <c r="D330" s="410" t="s">
        <v>925</v>
      </c>
      <c r="E330" s="412">
        <v>0</v>
      </c>
    </row>
    <row r="331" spans="1:5" ht="15">
      <c r="A331" s="411">
        <v>285365</v>
      </c>
      <c r="B331" s="411">
        <v>8000</v>
      </c>
      <c r="C331" s="411" t="s">
        <v>721</v>
      </c>
      <c r="D331" s="410" t="s">
        <v>926</v>
      </c>
      <c r="E331" s="412">
        <v>355091.97</v>
      </c>
    </row>
    <row r="332" spans="1:5" ht="15">
      <c r="A332" s="411">
        <v>290010</v>
      </c>
      <c r="B332" s="411">
        <v>8000</v>
      </c>
      <c r="C332" s="411" t="s">
        <v>721</v>
      </c>
      <c r="D332" s="410" t="s">
        <v>927</v>
      </c>
      <c r="E332" s="412">
        <v>0.48</v>
      </c>
    </row>
    <row r="333" spans="1:5" ht="15">
      <c r="A333" s="411">
        <v>291010</v>
      </c>
      <c r="B333" s="411">
        <v>8000</v>
      </c>
      <c r="C333" s="411" t="s">
        <v>721</v>
      </c>
      <c r="D333" s="410" t="s">
        <v>928</v>
      </c>
      <c r="E333" s="412">
        <v>40000</v>
      </c>
    </row>
    <row r="334" spans="1:5" ht="15">
      <c r="A334" s="411">
        <v>291010</v>
      </c>
      <c r="B334" s="411">
        <v>8100</v>
      </c>
      <c r="C334" s="411" t="s">
        <v>725</v>
      </c>
      <c r="D334" s="410" t="s">
        <v>928</v>
      </c>
      <c r="E334" s="412">
        <v>19000</v>
      </c>
    </row>
    <row r="335" spans="1:5" ht="15">
      <c r="A335" s="411">
        <v>291020</v>
      </c>
      <c r="B335" s="411">
        <v>8000</v>
      </c>
      <c r="C335" s="411" t="s">
        <v>721</v>
      </c>
      <c r="D335" s="410" t="s">
        <v>929</v>
      </c>
      <c r="E335" s="412">
        <v>50000</v>
      </c>
    </row>
    <row r="336" spans="1:5" ht="15">
      <c r="A336" s="411">
        <v>291020</v>
      </c>
      <c r="B336" s="411">
        <v>8100</v>
      </c>
      <c r="C336" s="411" t="s">
        <v>725</v>
      </c>
      <c r="D336" s="410" t="s">
        <v>929</v>
      </c>
      <c r="E336" s="412">
        <v>22000</v>
      </c>
    </row>
    <row r="337" spans="1:5" ht="15">
      <c r="A337" s="411">
        <v>291030</v>
      </c>
      <c r="B337" s="411">
        <v>8000</v>
      </c>
      <c r="C337" s="411" t="s">
        <v>721</v>
      </c>
      <c r="D337" s="410" t="s">
        <v>930</v>
      </c>
      <c r="E337" s="412">
        <v>36</v>
      </c>
    </row>
    <row r="338" spans="1:5" ht="15">
      <c r="A338" s="411">
        <v>291030</v>
      </c>
      <c r="B338" s="411">
        <v>8000</v>
      </c>
      <c r="C338" s="411" t="s">
        <v>721</v>
      </c>
      <c r="D338" s="410" t="s">
        <v>930</v>
      </c>
      <c r="E338" s="412">
        <v>-36</v>
      </c>
    </row>
    <row r="339" spans="1:5" ht="15">
      <c r="A339" s="411">
        <v>291030</v>
      </c>
      <c r="B339" s="411">
        <v>8100</v>
      </c>
      <c r="C339" s="411" t="s">
        <v>725</v>
      </c>
      <c r="D339" s="410" t="s">
        <v>930</v>
      </c>
      <c r="E339" s="412">
        <v>0</v>
      </c>
    </row>
    <row r="340" spans="1:5" ht="15">
      <c r="A340" s="411">
        <v>292010</v>
      </c>
      <c r="B340" s="411">
        <v>8000</v>
      </c>
      <c r="C340" s="411" t="s">
        <v>721</v>
      </c>
      <c r="D340" s="410" t="s">
        <v>931</v>
      </c>
      <c r="E340" s="412">
        <v>0</v>
      </c>
    </row>
    <row r="341" spans="1:5" ht="15">
      <c r="A341" s="411">
        <v>292020</v>
      </c>
      <c r="B341" s="411">
        <v>8000</v>
      </c>
      <c r="C341" s="411" t="s">
        <v>721</v>
      </c>
      <c r="D341" s="410" t="s">
        <v>932</v>
      </c>
      <c r="E341" s="412">
        <v>0</v>
      </c>
    </row>
    <row r="342" spans="1:5" ht="15">
      <c r="A342" s="411">
        <v>292020</v>
      </c>
      <c r="B342" s="411">
        <v>8100</v>
      </c>
      <c r="C342" s="411" t="s">
        <v>725</v>
      </c>
      <c r="D342" s="410" t="s">
        <v>932</v>
      </c>
      <c r="E342" s="412">
        <v>0</v>
      </c>
    </row>
    <row r="343" spans="1:5" ht="15">
      <c r="A343" s="411">
        <v>292030</v>
      </c>
      <c r="B343" s="411">
        <v>8000</v>
      </c>
      <c r="C343" s="411" t="s">
        <v>721</v>
      </c>
      <c r="D343" s="410" t="s">
        <v>933</v>
      </c>
      <c r="E343" s="412">
        <v>0</v>
      </c>
    </row>
    <row r="344" spans="1:5" ht="15">
      <c r="A344" s="411">
        <v>292030</v>
      </c>
      <c r="B344" s="411">
        <v>8100</v>
      </c>
      <c r="C344" s="411" t="s">
        <v>725</v>
      </c>
      <c r="D344" s="410" t="s">
        <v>933</v>
      </c>
      <c r="E344" s="412">
        <v>0</v>
      </c>
    </row>
    <row r="345" spans="1:5" ht="15">
      <c r="A345" s="411">
        <v>292050</v>
      </c>
      <c r="B345" s="411">
        <v>8000</v>
      </c>
      <c r="C345" s="411" t="s">
        <v>721</v>
      </c>
      <c r="D345" s="410" t="s">
        <v>934</v>
      </c>
      <c r="E345" s="412">
        <v>-9500</v>
      </c>
    </row>
    <row r="346" spans="1:5" ht="15">
      <c r="A346" s="411">
        <v>292050</v>
      </c>
      <c r="B346" s="411">
        <v>8000</v>
      </c>
      <c r="C346" s="411" t="s">
        <v>721</v>
      </c>
      <c r="D346" s="410" t="s">
        <v>934</v>
      </c>
      <c r="E346" s="412">
        <v>-4000</v>
      </c>
    </row>
    <row r="347" spans="1:5" ht="15">
      <c r="A347" s="411">
        <v>292050</v>
      </c>
      <c r="B347" s="411">
        <v>8100</v>
      </c>
      <c r="C347" s="411" t="s">
        <v>725</v>
      </c>
      <c r="D347" s="410" t="s">
        <v>934</v>
      </c>
      <c r="E347" s="412">
        <v>5625</v>
      </c>
    </row>
    <row r="348" spans="1:5" ht="15">
      <c r="A348" s="411">
        <v>292060</v>
      </c>
      <c r="B348" s="411">
        <v>8000</v>
      </c>
      <c r="C348" s="411" t="s">
        <v>721</v>
      </c>
      <c r="D348" s="410" t="s">
        <v>935</v>
      </c>
      <c r="E348" s="412">
        <v>16042</v>
      </c>
    </row>
    <row r="349" spans="1:5" ht="15">
      <c r="A349" s="411">
        <v>292060</v>
      </c>
      <c r="B349" s="411">
        <v>8100</v>
      </c>
      <c r="C349" s="411" t="s">
        <v>725</v>
      </c>
      <c r="D349" s="410" t="s">
        <v>935</v>
      </c>
      <c r="E349" s="412">
        <v>0</v>
      </c>
    </row>
    <row r="350" spans="1:5" ht="15">
      <c r="A350" s="411">
        <v>292070</v>
      </c>
      <c r="B350" s="411">
        <v>8000</v>
      </c>
      <c r="C350" s="411" t="s">
        <v>721</v>
      </c>
      <c r="D350" s="410" t="s">
        <v>936</v>
      </c>
      <c r="E350" s="412">
        <v>-296455</v>
      </c>
    </row>
    <row r="351" spans="1:5" ht="15">
      <c r="A351" s="411">
        <v>292070</v>
      </c>
      <c r="B351" s="411">
        <v>8000</v>
      </c>
      <c r="C351" s="411" t="s">
        <v>721</v>
      </c>
      <c r="D351" s="410" t="s">
        <v>936</v>
      </c>
      <c r="E351" s="412">
        <v>-27918</v>
      </c>
    </row>
    <row r="352" spans="1:5" ht="15">
      <c r="A352" s="411">
        <v>292070</v>
      </c>
      <c r="B352" s="411">
        <v>8100</v>
      </c>
      <c r="C352" s="411" t="s">
        <v>725</v>
      </c>
      <c r="D352" s="410" t="s">
        <v>936</v>
      </c>
      <c r="E352" s="412">
        <v>0</v>
      </c>
    </row>
    <row r="353" spans="1:5" ht="15">
      <c r="A353" s="411">
        <v>292080</v>
      </c>
      <c r="B353" s="411">
        <v>8000</v>
      </c>
      <c r="C353" s="411" t="s">
        <v>721</v>
      </c>
      <c r="D353" s="410" t="s">
        <v>937</v>
      </c>
      <c r="E353" s="412">
        <v>0</v>
      </c>
    </row>
    <row r="354" spans="1:5" ht="15">
      <c r="A354" s="411">
        <v>292080</v>
      </c>
      <c r="B354" s="411">
        <v>8100</v>
      </c>
      <c r="C354" s="411" t="s">
        <v>725</v>
      </c>
      <c r="D354" s="410" t="s">
        <v>937</v>
      </c>
      <c r="E354" s="412">
        <v>1250</v>
      </c>
    </row>
    <row r="355" spans="1:5" ht="15">
      <c r="A355" s="411">
        <v>292110</v>
      </c>
      <c r="B355" s="411">
        <v>8000</v>
      </c>
      <c r="C355" s="411" t="s">
        <v>721</v>
      </c>
      <c r="D355" s="410" t="s">
        <v>938</v>
      </c>
      <c r="E355" s="412">
        <v>0</v>
      </c>
    </row>
    <row r="356" spans="1:5" ht="15">
      <c r="A356" s="411">
        <v>292110</v>
      </c>
      <c r="B356" s="411">
        <v>8100</v>
      </c>
      <c r="C356" s="411" t="s">
        <v>725</v>
      </c>
      <c r="D356" s="410" t="s">
        <v>938</v>
      </c>
      <c r="E356" s="412">
        <v>0</v>
      </c>
    </row>
    <row r="357" spans="1:5" ht="15">
      <c r="A357" s="411">
        <v>293010</v>
      </c>
      <c r="B357" s="411">
        <v>8000</v>
      </c>
      <c r="C357" s="411" t="s">
        <v>721</v>
      </c>
      <c r="D357" s="410" t="s">
        <v>939</v>
      </c>
      <c r="E357" s="412">
        <v>-151478</v>
      </c>
    </row>
    <row r="358" spans="1:5" ht="15">
      <c r="A358" s="411">
        <v>293013</v>
      </c>
      <c r="B358" s="411">
        <v>8000</v>
      </c>
      <c r="C358" s="411" t="s">
        <v>721</v>
      </c>
      <c r="D358" s="410" t="s">
        <v>940</v>
      </c>
      <c r="E358" s="412">
        <v>444</v>
      </c>
    </row>
    <row r="359" spans="1:5" ht="15">
      <c r="A359" s="411">
        <v>293040</v>
      </c>
      <c r="B359" s="411">
        <v>8000</v>
      </c>
      <c r="C359" s="411" t="s">
        <v>721</v>
      </c>
      <c r="D359" s="410" t="s">
        <v>941</v>
      </c>
      <c r="E359" s="412">
        <v>19424914.73</v>
      </c>
    </row>
    <row r="360" spans="1:5" ht="15">
      <c r="A360" s="411">
        <v>294010</v>
      </c>
      <c r="B360" s="411">
        <v>8000</v>
      </c>
      <c r="C360" s="411" t="s">
        <v>721</v>
      </c>
      <c r="D360" s="410" t="s">
        <v>943</v>
      </c>
      <c r="E360" s="412">
        <v>50608754</v>
      </c>
    </row>
    <row r="361" spans="1:5" ht="15">
      <c r="A361" s="411">
        <v>294020</v>
      </c>
      <c r="B361" s="411">
        <v>8000</v>
      </c>
      <c r="C361" s="411" t="s">
        <v>721</v>
      </c>
      <c r="D361" s="410" t="s">
        <v>944</v>
      </c>
      <c r="E361" s="412">
        <v>0</v>
      </c>
    </row>
    <row r="362" spans="1:5" ht="15">
      <c r="A362" s="411">
        <v>294020</v>
      </c>
      <c r="B362" s="411">
        <v>8100</v>
      </c>
      <c r="C362" s="411" t="s">
        <v>725</v>
      </c>
      <c r="D362" s="410" t="s">
        <v>944</v>
      </c>
      <c r="E362" s="412">
        <v>0</v>
      </c>
    </row>
    <row r="363" spans="1:5" ht="15">
      <c r="A363" s="411">
        <v>294030</v>
      </c>
      <c r="B363" s="411">
        <v>8000</v>
      </c>
      <c r="C363" s="411" t="s">
        <v>721</v>
      </c>
      <c r="D363" s="410" t="s">
        <v>945</v>
      </c>
      <c r="E363" s="412">
        <v>167253</v>
      </c>
    </row>
    <row r="364" spans="1:5" ht="15">
      <c r="A364" s="411">
        <v>294030</v>
      </c>
      <c r="B364" s="411">
        <v>8100</v>
      </c>
      <c r="C364" s="411" t="s">
        <v>725</v>
      </c>
      <c r="D364" s="410" t="s">
        <v>945</v>
      </c>
      <c r="E364" s="412">
        <v>630</v>
      </c>
    </row>
    <row r="365" spans="1:5" ht="15">
      <c r="A365" s="411">
        <v>295010</v>
      </c>
      <c r="B365" s="411">
        <v>8000</v>
      </c>
      <c r="C365" s="411" t="s">
        <v>721</v>
      </c>
      <c r="D365" s="410" t="s">
        <v>946</v>
      </c>
      <c r="E365" s="412">
        <v>0</v>
      </c>
    </row>
    <row r="366" spans="1:5" ht="15">
      <c r="A366" s="411">
        <v>295010</v>
      </c>
      <c r="B366" s="411">
        <v>8100</v>
      </c>
      <c r="C366" s="411" t="s">
        <v>725</v>
      </c>
      <c r="D366" s="410" t="s">
        <v>946</v>
      </c>
      <c r="E366" s="412">
        <v>0.08</v>
      </c>
    </row>
    <row r="367" spans="1:5" ht="15">
      <c r="A367" s="411">
        <v>296060</v>
      </c>
      <c r="B367" s="411">
        <v>8000</v>
      </c>
      <c r="C367" s="411" t="s">
        <v>721</v>
      </c>
      <c r="D367" s="410" t="s">
        <v>947</v>
      </c>
      <c r="E367" s="412">
        <v>0</v>
      </c>
    </row>
    <row r="368" spans="1:5" ht="15">
      <c r="A368" s="411">
        <v>296070</v>
      </c>
      <c r="B368" s="411">
        <v>8000</v>
      </c>
      <c r="C368" s="411" t="s">
        <v>721</v>
      </c>
      <c r="D368" s="410" t="s">
        <v>948</v>
      </c>
      <c r="E368" s="412">
        <v>127355</v>
      </c>
    </row>
    <row r="369" spans="1:5" ht="15">
      <c r="A369" s="411">
        <v>296070</v>
      </c>
      <c r="B369" s="411">
        <v>8100</v>
      </c>
      <c r="C369" s="411" t="s">
        <v>725</v>
      </c>
      <c r="D369" s="410" t="s">
        <v>948</v>
      </c>
      <c r="E369" s="412">
        <v>0</v>
      </c>
    </row>
    <row r="370" spans="1:5" ht="15">
      <c r="A370" s="411">
        <v>297010</v>
      </c>
      <c r="B370" s="411">
        <v>8000</v>
      </c>
      <c r="C370" s="411" t="s">
        <v>721</v>
      </c>
      <c r="D370" s="410" t="s">
        <v>949</v>
      </c>
      <c r="E370" s="412">
        <v>108500</v>
      </c>
    </row>
    <row r="371" spans="1:5" ht="15">
      <c r="A371" s="411">
        <v>297020</v>
      </c>
      <c r="B371" s="411">
        <v>8000</v>
      </c>
      <c r="C371" s="411" t="s">
        <v>721</v>
      </c>
      <c r="D371" s="410" t="s">
        <v>950</v>
      </c>
      <c r="E371" s="412">
        <v>4074268</v>
      </c>
    </row>
    <row r="372" spans="1:5" ht="15">
      <c r="A372" s="411">
        <v>297020</v>
      </c>
      <c r="B372" s="411">
        <v>8100</v>
      </c>
      <c r="C372" s="411" t="s">
        <v>725</v>
      </c>
      <c r="D372" s="410" t="s">
        <v>950</v>
      </c>
      <c r="E372" s="412">
        <v>969636</v>
      </c>
    </row>
    <row r="373" spans="1:5" ht="15">
      <c r="A373" s="411">
        <v>299010</v>
      </c>
      <c r="B373" s="411">
        <v>8000</v>
      </c>
      <c r="C373" s="411" t="s">
        <v>721</v>
      </c>
      <c r="D373" s="410" t="s">
        <v>951</v>
      </c>
      <c r="E373" s="412">
        <v>272995143.66000003</v>
      </c>
    </row>
    <row r="374" spans="1:5" ht="15">
      <c r="A374" s="411">
        <v>299010</v>
      </c>
      <c r="B374" s="411">
        <v>8100</v>
      </c>
      <c r="C374" s="411" t="s">
        <v>725</v>
      </c>
      <c r="D374" s="410" t="s">
        <v>951</v>
      </c>
      <c r="E374" s="412">
        <v>-950499008.25999999</v>
      </c>
    </row>
    <row r="375" spans="1:5" ht="15">
      <c r="A375" s="411">
        <v>300040</v>
      </c>
      <c r="B375" s="411">
        <v>8000</v>
      </c>
      <c r="C375" s="411" t="s">
        <v>721</v>
      </c>
      <c r="D375" s="410" t="s">
        <v>952</v>
      </c>
      <c r="E375" s="427">
        <v>-31376721</v>
      </c>
    </row>
    <row r="376" spans="1:5" ht="15">
      <c r="A376" s="411">
        <v>300051</v>
      </c>
      <c r="B376" s="411">
        <v>8000</v>
      </c>
      <c r="C376" s="411" t="s">
        <v>721</v>
      </c>
      <c r="D376" s="410" t="s">
        <v>953</v>
      </c>
      <c r="E376" s="427">
        <v>-1537000</v>
      </c>
    </row>
    <row r="377" spans="1:5" ht="15">
      <c r="A377" s="411">
        <v>300052</v>
      </c>
      <c r="B377" s="411">
        <v>8000</v>
      </c>
      <c r="C377" s="411" t="s">
        <v>721</v>
      </c>
      <c r="D377" s="410" t="s">
        <v>954</v>
      </c>
      <c r="E377" s="427">
        <v>-200000</v>
      </c>
    </row>
    <row r="378" spans="1:5" ht="15">
      <c r="A378" s="411">
        <v>300060</v>
      </c>
      <c r="B378" s="411">
        <v>8000</v>
      </c>
      <c r="C378" s="411" t="s">
        <v>721</v>
      </c>
      <c r="D378" s="410" t="s">
        <v>955</v>
      </c>
      <c r="E378" s="427">
        <v>-137575000</v>
      </c>
    </row>
    <row r="379" spans="1:5" ht="15">
      <c r="A379" s="411">
        <v>300070</v>
      </c>
      <c r="B379" s="411">
        <v>8000</v>
      </c>
      <c r="C379" s="411" t="s">
        <v>721</v>
      </c>
      <c r="D379" s="410" t="s">
        <v>956</v>
      </c>
      <c r="E379" s="427">
        <v>-44376551</v>
      </c>
    </row>
    <row r="380" spans="1:5" ht="15">
      <c r="A380" s="411">
        <v>310010</v>
      </c>
      <c r="B380" s="411">
        <v>8000</v>
      </c>
      <c r="C380" s="411" t="s">
        <v>721</v>
      </c>
      <c r="D380" s="410" t="s">
        <v>957</v>
      </c>
      <c r="E380" s="427">
        <v>0</v>
      </c>
    </row>
    <row r="381" spans="1:5" ht="15">
      <c r="A381" s="411">
        <v>310010</v>
      </c>
      <c r="B381" s="411">
        <v>8100</v>
      </c>
      <c r="C381" s="411" t="s">
        <v>725</v>
      </c>
      <c r="D381" s="410" t="s">
        <v>957</v>
      </c>
      <c r="E381" s="427">
        <v>2158</v>
      </c>
    </row>
    <row r="382" spans="1:5" ht="15">
      <c r="A382" s="411">
        <v>310020</v>
      </c>
      <c r="B382" s="411">
        <v>8000</v>
      </c>
      <c r="C382" s="411" t="s">
        <v>721</v>
      </c>
      <c r="D382" s="410" t="s">
        <v>958</v>
      </c>
      <c r="E382" s="427">
        <v>-28276050.859999999</v>
      </c>
    </row>
    <row r="383" spans="1:5" ht="15">
      <c r="A383" s="411">
        <v>320030</v>
      </c>
      <c r="B383" s="411">
        <v>8000</v>
      </c>
      <c r="C383" s="411" t="s">
        <v>721</v>
      </c>
      <c r="D383" s="410" t="s">
        <v>959</v>
      </c>
      <c r="E383" s="427">
        <v>-508513.65</v>
      </c>
    </row>
    <row r="384" spans="1:5" ht="15">
      <c r="A384" s="411">
        <v>325010</v>
      </c>
      <c r="B384" s="411">
        <v>8000</v>
      </c>
      <c r="C384" s="411" t="s">
        <v>721</v>
      </c>
      <c r="D384" s="410" t="s">
        <v>960</v>
      </c>
      <c r="E384" s="427">
        <v>-23966.07</v>
      </c>
    </row>
    <row r="385" spans="1:10" ht="15">
      <c r="A385" s="411">
        <v>325010</v>
      </c>
      <c r="B385" s="411">
        <v>8100</v>
      </c>
      <c r="C385" s="411" t="s">
        <v>725</v>
      </c>
      <c r="D385" s="410" t="s">
        <v>960</v>
      </c>
      <c r="E385" s="427">
        <v>-68.52</v>
      </c>
    </row>
    <row r="386" spans="1:10" ht="15">
      <c r="A386" s="411">
        <v>340010</v>
      </c>
      <c r="B386" s="411">
        <v>8000</v>
      </c>
      <c r="C386" s="411" t="s">
        <v>721</v>
      </c>
      <c r="D386" s="410" t="s">
        <v>962</v>
      </c>
      <c r="E386" s="427">
        <v>-44000</v>
      </c>
    </row>
    <row r="387" spans="1:10" ht="15">
      <c r="A387" s="411">
        <v>340010</v>
      </c>
      <c r="B387" s="411">
        <v>8100</v>
      </c>
      <c r="C387" s="411" t="s">
        <v>725</v>
      </c>
      <c r="D387" s="410" t="s">
        <v>962</v>
      </c>
      <c r="E387" s="427">
        <v>-16500</v>
      </c>
    </row>
    <row r="388" spans="1:10" ht="15">
      <c r="A388" s="411">
        <v>370010</v>
      </c>
      <c r="B388" s="411">
        <v>8000</v>
      </c>
      <c r="C388" s="411" t="s">
        <v>721</v>
      </c>
      <c r="D388" s="410" t="s">
        <v>1067</v>
      </c>
      <c r="E388" s="427">
        <v>-82500</v>
      </c>
    </row>
    <row r="389" spans="1:10" ht="15">
      <c r="A389" s="411">
        <v>380040</v>
      </c>
      <c r="B389" s="411">
        <v>8000</v>
      </c>
      <c r="C389" s="411" t="s">
        <v>721</v>
      </c>
      <c r="D389" s="410" t="s">
        <v>964</v>
      </c>
      <c r="E389" s="427">
        <v>-17300</v>
      </c>
    </row>
    <row r="390" spans="1:10" ht="15">
      <c r="A390" s="411">
        <v>380040</v>
      </c>
      <c r="B390" s="411">
        <v>8100</v>
      </c>
      <c r="C390" s="411" t="s">
        <v>725</v>
      </c>
      <c r="D390" s="410" t="s">
        <v>964</v>
      </c>
      <c r="E390" s="427">
        <v>-91197.46</v>
      </c>
    </row>
    <row r="391" spans="1:10" ht="15">
      <c r="A391" s="411">
        <v>380041</v>
      </c>
      <c r="B391" s="411">
        <v>8000</v>
      </c>
      <c r="C391" s="411" t="s">
        <v>721</v>
      </c>
      <c r="D391" s="410" t="s">
        <v>965</v>
      </c>
      <c r="E391" s="427">
        <v>452448</v>
      </c>
    </row>
    <row r="392" spans="1:10" ht="15">
      <c r="A392" s="411">
        <v>380041</v>
      </c>
      <c r="B392" s="411">
        <v>8000</v>
      </c>
      <c r="C392" s="411" t="s">
        <v>721</v>
      </c>
      <c r="D392" s="410" t="s">
        <v>965</v>
      </c>
      <c r="E392" s="427">
        <v>0</v>
      </c>
    </row>
    <row r="393" spans="1:10" ht="15">
      <c r="A393" s="411">
        <v>380041</v>
      </c>
      <c r="B393" s="411">
        <v>8100</v>
      </c>
      <c r="C393" s="411" t="s">
        <v>725</v>
      </c>
      <c r="D393" s="410" t="s">
        <v>965</v>
      </c>
      <c r="E393" s="427">
        <v>0</v>
      </c>
    </row>
    <row r="394" spans="1:10" ht="15">
      <c r="A394" s="411">
        <v>380120</v>
      </c>
      <c r="B394" s="411">
        <v>8000</v>
      </c>
      <c r="C394" s="411" t="s">
        <v>721</v>
      </c>
      <c r="D394" s="410" t="s">
        <v>967</v>
      </c>
      <c r="E394" s="427">
        <v>0</v>
      </c>
    </row>
    <row r="395" spans="1:10" ht="15">
      <c r="A395" s="411">
        <v>380142</v>
      </c>
      <c r="B395" s="411">
        <v>8000</v>
      </c>
      <c r="C395" s="411" t="s">
        <v>721</v>
      </c>
      <c r="D395" s="410" t="s">
        <v>968</v>
      </c>
      <c r="E395" s="427">
        <v>-120000</v>
      </c>
    </row>
    <row r="396" spans="1:10" ht="15">
      <c r="A396" s="411">
        <v>380143</v>
      </c>
      <c r="B396" s="411">
        <v>8000</v>
      </c>
      <c r="C396" s="411" t="s">
        <v>721</v>
      </c>
      <c r="D396" s="410" t="s">
        <v>969</v>
      </c>
      <c r="E396" s="427">
        <v>-12060500</v>
      </c>
    </row>
    <row r="397" spans="1:10" ht="15">
      <c r="A397" s="411">
        <v>380144</v>
      </c>
      <c r="B397" s="411">
        <v>8000</v>
      </c>
      <c r="C397" s="411" t="s">
        <v>721</v>
      </c>
      <c r="D397" s="410" t="s">
        <v>970</v>
      </c>
      <c r="E397" s="427">
        <v>-642.55999999999995</v>
      </c>
      <c r="G397" s="371"/>
      <c r="J397" s="380">
        <v>-227575854.25999999</v>
      </c>
    </row>
    <row r="398" spans="1:10" ht="15">
      <c r="A398" s="411">
        <v>400010</v>
      </c>
      <c r="B398" s="411">
        <v>8000</v>
      </c>
      <c r="C398" s="411" t="s">
        <v>721</v>
      </c>
      <c r="D398" s="410" t="s">
        <v>971</v>
      </c>
      <c r="E398" s="412">
        <v>18601746.309999999</v>
      </c>
    </row>
    <row r="399" spans="1:10" ht="15">
      <c r="A399" s="411">
        <v>400010</v>
      </c>
      <c r="B399" s="411">
        <v>8100</v>
      </c>
      <c r="C399" s="411" t="s">
        <v>725</v>
      </c>
      <c r="D399" s="410" t="s">
        <v>971</v>
      </c>
      <c r="E399" s="412">
        <v>3179428</v>
      </c>
    </row>
    <row r="400" spans="1:10" ht="15">
      <c r="A400" s="411">
        <v>400050</v>
      </c>
      <c r="B400" s="411">
        <v>8000</v>
      </c>
      <c r="C400" s="411" t="s">
        <v>721</v>
      </c>
      <c r="D400" s="410" t="s">
        <v>972</v>
      </c>
      <c r="E400" s="412">
        <v>2180831.16</v>
      </c>
    </row>
    <row r="401" spans="1:5" ht="15">
      <c r="A401" s="411">
        <v>400050</v>
      </c>
      <c r="B401" s="411">
        <v>8100</v>
      </c>
      <c r="C401" s="411" t="s">
        <v>725</v>
      </c>
      <c r="D401" s="410" t="s">
        <v>972</v>
      </c>
      <c r="E401" s="412">
        <v>319941.65999999997</v>
      </c>
    </row>
    <row r="402" spans="1:5" ht="15">
      <c r="A402" s="411">
        <v>401010</v>
      </c>
      <c r="B402" s="411">
        <v>8000</v>
      </c>
      <c r="C402" s="411" t="s">
        <v>721</v>
      </c>
      <c r="D402" s="410" t="s">
        <v>973</v>
      </c>
      <c r="E402" s="412">
        <v>80795</v>
      </c>
    </row>
    <row r="403" spans="1:5" ht="15">
      <c r="A403" s="411">
        <v>402010</v>
      </c>
      <c r="B403" s="411">
        <v>8000</v>
      </c>
      <c r="C403" s="411" t="s">
        <v>721</v>
      </c>
      <c r="D403" s="410" t="s">
        <v>975</v>
      </c>
      <c r="E403" s="412">
        <v>114747.18</v>
      </c>
    </row>
    <row r="404" spans="1:5" ht="15">
      <c r="A404" s="411">
        <v>402010</v>
      </c>
      <c r="B404" s="411">
        <v>8100</v>
      </c>
      <c r="C404" s="411" t="s">
        <v>725</v>
      </c>
      <c r="D404" s="410" t="s">
        <v>975</v>
      </c>
      <c r="E404" s="412">
        <v>116870</v>
      </c>
    </row>
    <row r="405" spans="1:5" ht="15">
      <c r="A405" s="411">
        <v>410010</v>
      </c>
      <c r="B405" s="411">
        <v>8000</v>
      </c>
      <c r="C405" s="411" t="s">
        <v>721</v>
      </c>
      <c r="D405" s="410" t="s">
        <v>977</v>
      </c>
      <c r="E405" s="377">
        <v>47902451</v>
      </c>
    </row>
    <row r="406" spans="1:5" ht="15">
      <c r="A406" s="411">
        <v>410010</v>
      </c>
      <c r="B406" s="411">
        <v>8100</v>
      </c>
      <c r="C406" s="411" t="s">
        <v>725</v>
      </c>
      <c r="D406" s="410" t="s">
        <v>977</v>
      </c>
      <c r="E406" s="377">
        <v>15460683</v>
      </c>
    </row>
    <row r="407" spans="1:5" ht="15">
      <c r="A407" s="411">
        <v>410020</v>
      </c>
      <c r="B407" s="411">
        <v>8000</v>
      </c>
      <c r="C407" s="411" t="s">
        <v>721</v>
      </c>
      <c r="D407" s="410" t="s">
        <v>978</v>
      </c>
      <c r="E407" s="377">
        <v>0</v>
      </c>
    </row>
    <row r="408" spans="1:5" ht="15">
      <c r="A408" s="411">
        <v>410030</v>
      </c>
      <c r="B408" s="411">
        <v>8000</v>
      </c>
      <c r="C408" s="411" t="s">
        <v>721</v>
      </c>
      <c r="D408" s="410" t="s">
        <v>979</v>
      </c>
      <c r="E408" s="377">
        <v>24777304</v>
      </c>
    </row>
    <row r="409" spans="1:5" ht="15">
      <c r="A409" s="411">
        <v>410030</v>
      </c>
      <c r="B409" s="411">
        <v>8100</v>
      </c>
      <c r="C409" s="411" t="s">
        <v>725</v>
      </c>
      <c r="D409" s="410" t="s">
        <v>979</v>
      </c>
      <c r="E409" s="377">
        <v>8032013</v>
      </c>
    </row>
    <row r="410" spans="1:5" ht="15">
      <c r="A410" s="411">
        <v>410050</v>
      </c>
      <c r="B410" s="411">
        <v>8000</v>
      </c>
      <c r="C410" s="411" t="s">
        <v>721</v>
      </c>
      <c r="D410" s="410" t="s">
        <v>981</v>
      </c>
      <c r="E410" s="377">
        <v>0</v>
      </c>
    </row>
    <row r="411" spans="1:5" ht="15">
      <c r="A411" s="411">
        <v>410050</v>
      </c>
      <c r="B411" s="411">
        <v>8100</v>
      </c>
      <c r="C411" s="411" t="s">
        <v>725</v>
      </c>
      <c r="D411" s="410" t="s">
        <v>981</v>
      </c>
      <c r="E411" s="377">
        <v>0</v>
      </c>
    </row>
    <row r="412" spans="1:5" ht="15">
      <c r="A412" s="411">
        <v>410060</v>
      </c>
      <c r="B412" s="411">
        <v>8000</v>
      </c>
      <c r="C412" s="411" t="s">
        <v>721</v>
      </c>
      <c r="D412" s="410" t="s">
        <v>982</v>
      </c>
      <c r="E412" s="377">
        <v>959274</v>
      </c>
    </row>
    <row r="413" spans="1:5" ht="15">
      <c r="A413" s="411">
        <v>410060</v>
      </c>
      <c r="B413" s="411">
        <v>8100</v>
      </c>
      <c r="C413" s="411" t="s">
        <v>725</v>
      </c>
      <c r="D413" s="410" t="s">
        <v>982</v>
      </c>
      <c r="E413" s="377">
        <v>178140</v>
      </c>
    </row>
    <row r="414" spans="1:5" ht="15">
      <c r="A414" s="411">
        <v>410061</v>
      </c>
      <c r="B414" s="411">
        <v>8000</v>
      </c>
      <c r="C414" s="411" t="s">
        <v>721</v>
      </c>
      <c r="D414" s="410" t="s">
        <v>983</v>
      </c>
      <c r="E414" s="377">
        <v>368016</v>
      </c>
    </row>
    <row r="415" spans="1:5" ht="15">
      <c r="A415" s="411">
        <v>410061</v>
      </c>
      <c r="B415" s="411">
        <v>8100</v>
      </c>
      <c r="C415" s="411" t="s">
        <v>725</v>
      </c>
      <c r="D415" s="410" t="s">
        <v>983</v>
      </c>
      <c r="E415" s="377">
        <v>67440</v>
      </c>
    </row>
    <row r="416" spans="1:5" ht="15">
      <c r="A416" s="411">
        <v>410070</v>
      </c>
      <c r="B416" s="411">
        <v>8000</v>
      </c>
      <c r="C416" s="411" t="s">
        <v>721</v>
      </c>
      <c r="D416" s="410" t="s">
        <v>984</v>
      </c>
      <c r="E416" s="377">
        <v>505280</v>
      </c>
    </row>
    <row r="417" spans="1:5" ht="15">
      <c r="A417" s="411">
        <v>410070</v>
      </c>
      <c r="B417" s="411">
        <v>8100</v>
      </c>
      <c r="C417" s="411" t="s">
        <v>725</v>
      </c>
      <c r="D417" s="410" t="s">
        <v>984</v>
      </c>
      <c r="E417" s="377">
        <v>160672</v>
      </c>
    </row>
    <row r="418" spans="1:5" ht="15">
      <c r="A418" s="411">
        <v>410080</v>
      </c>
      <c r="B418" s="411">
        <v>8000</v>
      </c>
      <c r="C418" s="411" t="s">
        <v>721</v>
      </c>
      <c r="D418" s="410" t="s">
        <v>985</v>
      </c>
      <c r="E418" s="377">
        <v>381406</v>
      </c>
    </row>
    <row r="419" spans="1:5" ht="15">
      <c r="A419" s="411">
        <v>410080</v>
      </c>
      <c r="B419" s="411">
        <v>8100</v>
      </c>
      <c r="C419" s="411" t="s">
        <v>725</v>
      </c>
      <c r="D419" s="410" t="s">
        <v>985</v>
      </c>
      <c r="E419" s="377">
        <v>119639</v>
      </c>
    </row>
    <row r="420" spans="1:5" ht="15">
      <c r="A420" s="411">
        <v>410091</v>
      </c>
      <c r="B420" s="411">
        <v>8000</v>
      </c>
      <c r="C420" s="411" t="s">
        <v>721</v>
      </c>
      <c r="D420" s="410" t="s">
        <v>986</v>
      </c>
      <c r="E420" s="377">
        <v>650</v>
      </c>
    </row>
    <row r="421" spans="1:5" ht="15">
      <c r="A421" s="411">
        <v>410091</v>
      </c>
      <c r="B421" s="411">
        <v>8100</v>
      </c>
      <c r="C421" s="411" t="s">
        <v>725</v>
      </c>
      <c r="D421" s="410" t="s">
        <v>986</v>
      </c>
      <c r="E421" s="377">
        <v>650</v>
      </c>
    </row>
    <row r="422" spans="1:5" ht="15">
      <c r="A422" s="411">
        <v>410093</v>
      </c>
      <c r="B422" s="411">
        <v>8000</v>
      </c>
      <c r="C422" s="411" t="s">
        <v>721</v>
      </c>
      <c r="D422" s="410" t="s">
        <v>987</v>
      </c>
      <c r="E422" s="377">
        <v>39980</v>
      </c>
    </row>
    <row r="423" spans="1:5" ht="15">
      <c r="A423" s="411">
        <v>410093</v>
      </c>
      <c r="B423" s="411">
        <v>8100</v>
      </c>
      <c r="C423" s="411" t="s">
        <v>725</v>
      </c>
      <c r="D423" s="410" t="s">
        <v>987</v>
      </c>
      <c r="E423" s="377">
        <v>284</v>
      </c>
    </row>
    <row r="424" spans="1:5" ht="15">
      <c r="A424" s="411">
        <v>410096</v>
      </c>
      <c r="B424" s="411">
        <v>8000</v>
      </c>
      <c r="C424" s="411" t="s">
        <v>721</v>
      </c>
      <c r="D424" s="410" t="s">
        <v>988</v>
      </c>
      <c r="E424" s="377">
        <v>2953382</v>
      </c>
    </row>
    <row r="425" spans="1:5" ht="15">
      <c r="A425" s="411">
        <v>410096</v>
      </c>
      <c r="B425" s="411">
        <v>8100</v>
      </c>
      <c r="C425" s="411" t="s">
        <v>725</v>
      </c>
      <c r="D425" s="410" t="s">
        <v>988</v>
      </c>
      <c r="E425" s="377">
        <v>1065497</v>
      </c>
    </row>
    <row r="426" spans="1:5" ht="15">
      <c r="A426" s="411">
        <v>410098</v>
      </c>
      <c r="B426" s="411">
        <v>8000</v>
      </c>
      <c r="C426" s="411" t="s">
        <v>721</v>
      </c>
      <c r="D426" s="410" t="s">
        <v>989</v>
      </c>
      <c r="E426" s="377">
        <v>190640</v>
      </c>
    </row>
    <row r="427" spans="1:5" ht="15">
      <c r="A427" s="411">
        <v>410098</v>
      </c>
      <c r="B427" s="411">
        <v>8100</v>
      </c>
      <c r="C427" s="411" t="s">
        <v>725</v>
      </c>
      <c r="D427" s="410" t="s">
        <v>989</v>
      </c>
      <c r="E427" s="377">
        <v>113025</v>
      </c>
    </row>
    <row r="428" spans="1:5" ht="15">
      <c r="A428" s="411">
        <v>410100</v>
      </c>
      <c r="B428" s="411">
        <v>8000</v>
      </c>
      <c r="C428" s="411" t="s">
        <v>721</v>
      </c>
      <c r="D428" s="410" t="s">
        <v>990</v>
      </c>
      <c r="E428" s="377">
        <v>27775</v>
      </c>
    </row>
    <row r="429" spans="1:5" ht="15">
      <c r="A429" s="411">
        <v>410100</v>
      </c>
      <c r="B429" s="411">
        <v>8100</v>
      </c>
      <c r="C429" s="411" t="s">
        <v>725</v>
      </c>
      <c r="D429" s="410" t="s">
        <v>990</v>
      </c>
      <c r="E429" s="377">
        <v>4387</v>
      </c>
    </row>
    <row r="430" spans="1:5" ht="15">
      <c r="A430" s="411">
        <v>410110</v>
      </c>
      <c r="B430" s="411">
        <v>8000</v>
      </c>
      <c r="C430" s="411" t="s">
        <v>721</v>
      </c>
      <c r="D430" s="410" t="s">
        <v>991</v>
      </c>
      <c r="E430" s="377">
        <v>574</v>
      </c>
    </row>
    <row r="431" spans="1:5" ht="15">
      <c r="A431" s="411">
        <v>410110</v>
      </c>
      <c r="B431" s="411">
        <v>8100</v>
      </c>
      <c r="C431" s="411" t="s">
        <v>725</v>
      </c>
      <c r="D431" s="410" t="s">
        <v>991</v>
      </c>
      <c r="E431" s="377">
        <v>1000</v>
      </c>
    </row>
    <row r="432" spans="1:5" ht="15">
      <c r="A432" s="411">
        <v>410120</v>
      </c>
      <c r="B432" s="411">
        <v>8000</v>
      </c>
      <c r="C432" s="411" t="s">
        <v>721</v>
      </c>
      <c r="D432" s="410" t="s">
        <v>992</v>
      </c>
      <c r="E432" s="377">
        <v>1738</v>
      </c>
    </row>
    <row r="433" spans="1:5" ht="15">
      <c r="A433" s="411">
        <v>410120</v>
      </c>
      <c r="B433" s="411">
        <v>8100</v>
      </c>
      <c r="C433" s="411" t="s">
        <v>725</v>
      </c>
      <c r="D433" s="410" t="s">
        <v>992</v>
      </c>
      <c r="E433" s="377">
        <v>1820</v>
      </c>
    </row>
    <row r="434" spans="1:5" ht="15">
      <c r="A434" s="411">
        <v>410130</v>
      </c>
      <c r="B434" s="411">
        <v>8000</v>
      </c>
      <c r="C434" s="411" t="s">
        <v>721</v>
      </c>
      <c r="D434" s="410" t="s">
        <v>993</v>
      </c>
      <c r="E434" s="377">
        <v>147923</v>
      </c>
    </row>
    <row r="435" spans="1:5" ht="15">
      <c r="A435" s="411">
        <v>410130</v>
      </c>
      <c r="B435" s="411">
        <v>8100</v>
      </c>
      <c r="C435" s="411" t="s">
        <v>725</v>
      </c>
      <c r="D435" s="410" t="s">
        <v>993</v>
      </c>
      <c r="E435" s="377">
        <v>57289</v>
      </c>
    </row>
    <row r="436" spans="1:5" ht="15">
      <c r="A436" s="411">
        <v>410140</v>
      </c>
      <c r="B436" s="411">
        <v>8000</v>
      </c>
      <c r="C436" s="411" t="s">
        <v>721</v>
      </c>
      <c r="D436" s="410" t="s">
        <v>994</v>
      </c>
      <c r="E436" s="377">
        <v>8698723</v>
      </c>
    </row>
    <row r="437" spans="1:5" ht="15">
      <c r="A437" s="411">
        <v>410140</v>
      </c>
      <c r="B437" s="411">
        <v>8100</v>
      </c>
      <c r="C437" s="411" t="s">
        <v>725</v>
      </c>
      <c r="D437" s="410" t="s">
        <v>994</v>
      </c>
      <c r="E437" s="377">
        <v>2784780</v>
      </c>
    </row>
    <row r="438" spans="1:5" ht="15">
      <c r="A438" s="411">
        <v>410150</v>
      </c>
      <c r="B438" s="411">
        <v>8000</v>
      </c>
      <c r="C438" s="411" t="s">
        <v>721</v>
      </c>
      <c r="D438" s="410" t="s">
        <v>995</v>
      </c>
      <c r="E438" s="377">
        <v>144496</v>
      </c>
    </row>
    <row r="439" spans="1:5" ht="15">
      <c r="A439" s="411">
        <v>410150</v>
      </c>
      <c r="B439" s="411">
        <v>8100</v>
      </c>
      <c r="C439" s="411" t="s">
        <v>725</v>
      </c>
      <c r="D439" s="410" t="s">
        <v>995</v>
      </c>
      <c r="E439" s="377">
        <v>39672</v>
      </c>
    </row>
    <row r="440" spans="1:5" ht="15">
      <c r="A440" s="411">
        <v>410161</v>
      </c>
      <c r="B440" s="411">
        <v>8000</v>
      </c>
      <c r="C440" s="411" t="s">
        <v>721</v>
      </c>
      <c r="D440" s="410" t="s">
        <v>996</v>
      </c>
      <c r="E440" s="377">
        <v>557183</v>
      </c>
    </row>
    <row r="441" spans="1:5" ht="15">
      <c r="A441" s="411">
        <v>410161</v>
      </c>
      <c r="B441" s="411">
        <v>8100</v>
      </c>
      <c r="C441" s="411" t="s">
        <v>725</v>
      </c>
      <c r="D441" s="410" t="s">
        <v>996</v>
      </c>
      <c r="E441" s="377">
        <v>195922</v>
      </c>
    </row>
    <row r="442" spans="1:5" ht="15">
      <c r="A442" s="411">
        <v>410162</v>
      </c>
      <c r="B442" s="411">
        <v>8000</v>
      </c>
      <c r="C442" s="411" t="s">
        <v>721</v>
      </c>
      <c r="D442" s="410" t="s">
        <v>997</v>
      </c>
      <c r="E442" s="377">
        <v>52057</v>
      </c>
    </row>
    <row r="443" spans="1:5" ht="15">
      <c r="A443" s="411">
        <v>410162</v>
      </c>
      <c r="B443" s="411">
        <v>8100</v>
      </c>
      <c r="C443" s="411" t="s">
        <v>725</v>
      </c>
      <c r="D443" s="410" t="s">
        <v>997</v>
      </c>
      <c r="E443" s="377">
        <v>13010</v>
      </c>
    </row>
    <row r="444" spans="1:5" ht="15">
      <c r="A444" s="411">
        <v>410163</v>
      </c>
      <c r="B444" s="411">
        <v>8000</v>
      </c>
      <c r="C444" s="411" t="s">
        <v>721</v>
      </c>
      <c r="D444" s="410" t="s">
        <v>998</v>
      </c>
      <c r="E444" s="377">
        <v>4000</v>
      </c>
    </row>
    <row r="445" spans="1:5" ht="15">
      <c r="A445" s="411">
        <v>410163</v>
      </c>
      <c r="B445" s="411">
        <v>8100</v>
      </c>
      <c r="C445" s="411" t="s">
        <v>725</v>
      </c>
      <c r="D445" s="410" t="s">
        <v>998</v>
      </c>
      <c r="E445" s="377">
        <v>4000</v>
      </c>
    </row>
    <row r="446" spans="1:5" ht="15">
      <c r="A446" s="411">
        <v>410170</v>
      </c>
      <c r="B446" s="411">
        <v>8000</v>
      </c>
      <c r="C446" s="411" t="s">
        <v>721</v>
      </c>
      <c r="D446" s="410" t="s">
        <v>999</v>
      </c>
      <c r="E446" s="377">
        <v>336874</v>
      </c>
    </row>
    <row r="447" spans="1:5" ht="15">
      <c r="A447" s="411">
        <v>410170</v>
      </c>
      <c r="B447" s="411">
        <v>8100</v>
      </c>
      <c r="C447" s="411" t="s">
        <v>725</v>
      </c>
      <c r="D447" s="410" t="s">
        <v>999</v>
      </c>
      <c r="E447" s="377">
        <v>107210</v>
      </c>
    </row>
    <row r="448" spans="1:5" ht="15">
      <c r="A448" s="411">
        <v>410200</v>
      </c>
      <c r="B448" s="411">
        <v>8000</v>
      </c>
      <c r="C448" s="411" t="s">
        <v>721</v>
      </c>
      <c r="D448" s="410" t="s">
        <v>1000</v>
      </c>
      <c r="E448" s="377">
        <v>195592</v>
      </c>
    </row>
    <row r="449" spans="1:5" ht="15">
      <c r="A449" s="411">
        <v>410200</v>
      </c>
      <c r="B449" s="411">
        <v>8100</v>
      </c>
      <c r="C449" s="411" t="s">
        <v>725</v>
      </c>
      <c r="D449" s="410" t="s">
        <v>1000</v>
      </c>
      <c r="E449" s="377">
        <v>16134</v>
      </c>
    </row>
    <row r="450" spans="1:5" ht="15">
      <c r="A450" s="411">
        <v>410220</v>
      </c>
      <c r="B450" s="411">
        <v>8000</v>
      </c>
      <c r="C450" s="411" t="s">
        <v>721</v>
      </c>
      <c r="D450" s="410" t="s">
        <v>1001</v>
      </c>
      <c r="E450" s="377">
        <v>4880</v>
      </c>
    </row>
    <row r="451" spans="1:5" ht="15">
      <c r="A451" s="411">
        <v>410220</v>
      </c>
      <c r="B451" s="411">
        <v>8100</v>
      </c>
      <c r="C451" s="411" t="s">
        <v>725</v>
      </c>
      <c r="D451" s="410" t="s">
        <v>1001</v>
      </c>
      <c r="E451" s="377">
        <v>3380</v>
      </c>
    </row>
    <row r="452" spans="1:5" ht="15">
      <c r="A452" s="411">
        <v>410240</v>
      </c>
      <c r="B452" s="411">
        <v>8000</v>
      </c>
      <c r="C452" s="411" t="s">
        <v>721</v>
      </c>
      <c r="D452" s="410" t="s">
        <v>138</v>
      </c>
      <c r="E452" s="377">
        <v>405132</v>
      </c>
    </row>
    <row r="453" spans="1:5" ht="15">
      <c r="A453" s="411">
        <v>410240</v>
      </c>
      <c r="B453" s="411">
        <v>8100</v>
      </c>
      <c r="C453" s="411" t="s">
        <v>725</v>
      </c>
      <c r="D453" s="410" t="s">
        <v>138</v>
      </c>
      <c r="E453" s="377">
        <v>152995</v>
      </c>
    </row>
    <row r="454" spans="1:5" ht="15">
      <c r="A454" s="411">
        <v>410250</v>
      </c>
      <c r="B454" s="411">
        <v>8000</v>
      </c>
      <c r="C454" s="411" t="s">
        <v>721</v>
      </c>
      <c r="D454" s="410" t="s">
        <v>1002</v>
      </c>
      <c r="E454" s="377">
        <v>306882</v>
      </c>
    </row>
    <row r="455" spans="1:5" ht="15">
      <c r="A455" s="411">
        <v>410250</v>
      </c>
      <c r="B455" s="411">
        <v>8100</v>
      </c>
      <c r="C455" s="411" t="s">
        <v>725</v>
      </c>
      <c r="D455" s="410" t="s">
        <v>1002</v>
      </c>
      <c r="E455" s="377">
        <v>35419</v>
      </c>
    </row>
    <row r="456" spans="1:5" ht="15">
      <c r="A456" s="411">
        <v>410280</v>
      </c>
      <c r="B456" s="411">
        <v>8000</v>
      </c>
      <c r="C456" s="411" t="s">
        <v>721</v>
      </c>
      <c r="D456" s="410" t="s">
        <v>1003</v>
      </c>
      <c r="E456" s="377">
        <v>480024</v>
      </c>
    </row>
    <row r="457" spans="1:5" ht="15">
      <c r="A457" s="411">
        <v>410280</v>
      </c>
      <c r="B457" s="411">
        <v>8100</v>
      </c>
      <c r="C457" s="411" t="s">
        <v>725</v>
      </c>
      <c r="D457" s="410" t="s">
        <v>1003</v>
      </c>
      <c r="E457" s="377">
        <v>87000</v>
      </c>
    </row>
    <row r="458" spans="1:5" ht="15">
      <c r="A458" s="411">
        <v>420010</v>
      </c>
      <c r="B458" s="411">
        <v>8000</v>
      </c>
      <c r="C458" s="411" t="s">
        <v>721</v>
      </c>
      <c r="D458" s="410" t="s">
        <v>142</v>
      </c>
      <c r="E458" s="377">
        <v>18230</v>
      </c>
    </row>
    <row r="459" spans="1:5" ht="15">
      <c r="A459" s="411">
        <v>420020</v>
      </c>
      <c r="B459" s="411">
        <v>8000</v>
      </c>
      <c r="C459" s="411" t="s">
        <v>721</v>
      </c>
      <c r="D459" s="410" t="s">
        <v>1004</v>
      </c>
      <c r="E459" s="377">
        <v>103934</v>
      </c>
    </row>
    <row r="460" spans="1:5" ht="15">
      <c r="A460" s="411">
        <v>420020</v>
      </c>
      <c r="B460" s="411">
        <v>8100</v>
      </c>
      <c r="C460" s="411" t="s">
        <v>725</v>
      </c>
      <c r="D460" s="410" t="s">
        <v>1004</v>
      </c>
      <c r="E460" s="377">
        <v>30390</v>
      </c>
    </row>
    <row r="461" spans="1:5" ht="15">
      <c r="A461" s="411">
        <v>421010</v>
      </c>
      <c r="B461" s="411">
        <v>8000</v>
      </c>
      <c r="C461" s="411" t="s">
        <v>721</v>
      </c>
      <c r="D461" s="410" t="s">
        <v>1005</v>
      </c>
      <c r="E461" s="377">
        <v>390484</v>
      </c>
    </row>
    <row r="462" spans="1:5" ht="15">
      <c r="A462" s="411">
        <v>421021</v>
      </c>
      <c r="B462" s="411">
        <v>8000</v>
      </c>
      <c r="C462" s="411" t="s">
        <v>721</v>
      </c>
      <c r="D462" s="410" t="s">
        <v>1006</v>
      </c>
      <c r="E462" s="377">
        <v>-189524</v>
      </c>
    </row>
    <row r="463" spans="1:5" ht="15">
      <c r="A463" s="411">
        <v>421040</v>
      </c>
      <c r="B463" s="411">
        <v>8000</v>
      </c>
      <c r="C463" s="411" t="s">
        <v>721</v>
      </c>
      <c r="D463" s="410" t="s">
        <v>1008</v>
      </c>
      <c r="E463" s="377">
        <v>675</v>
      </c>
    </row>
    <row r="464" spans="1:5" ht="15">
      <c r="A464" s="411">
        <v>421040</v>
      </c>
      <c r="B464" s="411">
        <v>8100</v>
      </c>
      <c r="C464" s="411" t="s">
        <v>725</v>
      </c>
      <c r="D464" s="410" t="s">
        <v>1008</v>
      </c>
      <c r="E464" s="377">
        <v>225</v>
      </c>
    </row>
    <row r="465" spans="1:10" ht="15">
      <c r="A465" s="411">
        <v>422040</v>
      </c>
      <c r="B465" s="411">
        <v>8000</v>
      </c>
      <c r="C465" s="411" t="s">
        <v>721</v>
      </c>
      <c r="D465" s="410" t="s">
        <v>1009</v>
      </c>
      <c r="E465" s="377">
        <v>4000</v>
      </c>
    </row>
    <row r="466" spans="1:10" ht="15">
      <c r="A466" s="411">
        <v>422040</v>
      </c>
      <c r="B466" s="411">
        <v>8100</v>
      </c>
      <c r="C466" s="411" t="s">
        <v>725</v>
      </c>
      <c r="D466" s="410" t="s">
        <v>1009</v>
      </c>
      <c r="E466" s="377">
        <v>8664</v>
      </c>
    </row>
    <row r="467" spans="1:10" ht="15">
      <c r="A467" s="411">
        <v>422060</v>
      </c>
      <c r="B467" s="411">
        <v>8000</v>
      </c>
      <c r="C467" s="411" t="s">
        <v>721</v>
      </c>
      <c r="D467" s="410" t="s">
        <v>1010</v>
      </c>
      <c r="E467" s="377">
        <v>640000</v>
      </c>
    </row>
    <row r="468" spans="1:10" ht="15">
      <c r="A468" s="411">
        <v>422060</v>
      </c>
      <c r="B468" s="411">
        <v>8100</v>
      </c>
      <c r="C468" s="411" t="s">
        <v>725</v>
      </c>
      <c r="D468" s="410" t="s">
        <v>1010</v>
      </c>
      <c r="E468" s="377">
        <v>320000</v>
      </c>
    </row>
    <row r="469" spans="1:10" ht="15">
      <c r="A469" s="411">
        <v>422070</v>
      </c>
      <c r="B469" s="411">
        <v>8000</v>
      </c>
      <c r="C469" s="411" t="s">
        <v>721</v>
      </c>
      <c r="D469" s="410" t="s">
        <v>1011</v>
      </c>
      <c r="E469" s="377">
        <v>751306</v>
      </c>
    </row>
    <row r="470" spans="1:10" ht="15">
      <c r="A470" s="411">
        <v>422070</v>
      </c>
      <c r="B470" s="411">
        <v>8100</v>
      </c>
      <c r="C470" s="411" t="s">
        <v>725</v>
      </c>
      <c r="D470" s="410" t="s">
        <v>1011</v>
      </c>
      <c r="E470" s="377">
        <v>2000</v>
      </c>
    </row>
    <row r="471" spans="1:10" ht="15">
      <c r="A471" s="411">
        <v>423010</v>
      </c>
      <c r="B471" s="411">
        <v>8000</v>
      </c>
      <c r="C471" s="411" t="s">
        <v>721</v>
      </c>
      <c r="D471" s="410" t="s">
        <v>1012</v>
      </c>
      <c r="E471" s="377">
        <v>498750</v>
      </c>
    </row>
    <row r="472" spans="1:10" ht="15">
      <c r="A472" s="411">
        <v>423010</v>
      </c>
      <c r="B472" s="411">
        <v>8100</v>
      </c>
      <c r="C472" s="411" t="s">
        <v>725</v>
      </c>
      <c r="D472" s="410" t="s">
        <v>1012</v>
      </c>
      <c r="E472" s="377">
        <v>145000</v>
      </c>
    </row>
    <row r="473" spans="1:10" ht="15">
      <c r="A473" s="411">
        <v>423020</v>
      </c>
      <c r="B473" s="411">
        <v>8000</v>
      </c>
      <c r="C473" s="411" t="s">
        <v>721</v>
      </c>
      <c r="D473" s="410" t="s">
        <v>1013</v>
      </c>
      <c r="E473" s="377">
        <v>19280</v>
      </c>
    </row>
    <row r="474" spans="1:10" ht="15">
      <c r="A474" s="411">
        <v>423020</v>
      </c>
      <c r="B474" s="411">
        <v>8100</v>
      </c>
      <c r="C474" s="411" t="s">
        <v>725</v>
      </c>
      <c r="D474" s="410" t="s">
        <v>1013</v>
      </c>
      <c r="E474" s="377">
        <v>6640</v>
      </c>
    </row>
    <row r="475" spans="1:10" ht="15">
      <c r="A475" s="411">
        <v>424010</v>
      </c>
      <c r="B475" s="411">
        <v>8000</v>
      </c>
      <c r="C475" s="411" t="s">
        <v>721</v>
      </c>
      <c r="D475" s="410" t="s">
        <v>1014</v>
      </c>
      <c r="E475" s="377">
        <v>8246240</v>
      </c>
    </row>
    <row r="476" spans="1:10" ht="15">
      <c r="A476" s="411">
        <v>424010</v>
      </c>
      <c r="B476" s="411">
        <v>8100</v>
      </c>
      <c r="C476" s="411" t="s">
        <v>725</v>
      </c>
      <c r="D476" s="410" t="s">
        <v>1014</v>
      </c>
      <c r="E476" s="377">
        <v>2672007</v>
      </c>
      <c r="F476" s="380"/>
      <c r="J476" s="380">
        <v>131812598</v>
      </c>
    </row>
    <row r="477" spans="1:10" ht="15">
      <c r="A477" s="411">
        <v>425010</v>
      </c>
      <c r="B477" s="411">
        <v>8000</v>
      </c>
      <c r="C477" s="411" t="s">
        <v>721</v>
      </c>
      <c r="D477" s="410" t="s">
        <v>1017</v>
      </c>
      <c r="E477" s="412">
        <v>493207</v>
      </c>
    </row>
    <row r="478" spans="1:10" ht="15">
      <c r="A478" s="411">
        <v>425010</v>
      </c>
      <c r="B478" s="411">
        <v>8100</v>
      </c>
      <c r="C478" s="411" t="s">
        <v>725</v>
      </c>
      <c r="D478" s="410" t="s">
        <v>1017</v>
      </c>
      <c r="E478" s="412">
        <v>315336</v>
      </c>
    </row>
    <row r="479" spans="1:10" ht="15">
      <c r="A479" s="411">
        <v>430010</v>
      </c>
      <c r="B479" s="411">
        <v>8000</v>
      </c>
      <c r="C479" s="411" t="s">
        <v>721</v>
      </c>
      <c r="D479" s="410" t="s">
        <v>1018</v>
      </c>
      <c r="E479" s="412">
        <v>0</v>
      </c>
    </row>
    <row r="480" spans="1:10" ht="15">
      <c r="A480" s="411">
        <v>430030</v>
      </c>
      <c r="B480" s="411">
        <v>8000</v>
      </c>
      <c r="C480" s="411" t="s">
        <v>721</v>
      </c>
      <c r="D480" s="410" t="s">
        <v>1019</v>
      </c>
      <c r="E480" s="412">
        <v>108781</v>
      </c>
    </row>
    <row r="481" spans="1:5" ht="15">
      <c r="A481" s="411">
        <v>430030</v>
      </c>
      <c r="B481" s="411">
        <v>8100</v>
      </c>
      <c r="C481" s="411" t="s">
        <v>725</v>
      </c>
      <c r="D481" s="410" t="s">
        <v>1019</v>
      </c>
      <c r="E481" s="412">
        <v>0</v>
      </c>
    </row>
    <row r="482" spans="1:5" ht="15">
      <c r="A482" s="411">
        <v>430040</v>
      </c>
      <c r="B482" s="411">
        <v>8000</v>
      </c>
      <c r="C482" s="411" t="s">
        <v>721</v>
      </c>
      <c r="D482" s="410" t="s">
        <v>1020</v>
      </c>
      <c r="E482" s="412">
        <v>435509</v>
      </c>
    </row>
    <row r="483" spans="1:5" ht="15">
      <c r="A483" s="411">
        <v>430040</v>
      </c>
      <c r="B483" s="411">
        <v>8100</v>
      </c>
      <c r="C483" s="411" t="s">
        <v>725</v>
      </c>
      <c r="D483" s="410" t="s">
        <v>1020</v>
      </c>
      <c r="E483" s="412">
        <v>66078</v>
      </c>
    </row>
    <row r="484" spans="1:5" ht="15">
      <c r="A484" s="411">
        <v>430070</v>
      </c>
      <c r="B484" s="411">
        <v>8000</v>
      </c>
      <c r="C484" s="411" t="s">
        <v>721</v>
      </c>
      <c r="D484" s="410" t="s">
        <v>1021</v>
      </c>
      <c r="E484" s="412">
        <v>264163</v>
      </c>
    </row>
    <row r="485" spans="1:5" ht="15">
      <c r="A485" s="411">
        <v>430070</v>
      </c>
      <c r="B485" s="411">
        <v>8100</v>
      </c>
      <c r="C485" s="411" t="s">
        <v>725</v>
      </c>
      <c r="D485" s="410" t="s">
        <v>1021</v>
      </c>
      <c r="E485" s="412">
        <v>158597</v>
      </c>
    </row>
    <row r="486" spans="1:5" ht="15">
      <c r="A486" s="411">
        <v>430100</v>
      </c>
      <c r="B486" s="411">
        <v>8000</v>
      </c>
      <c r="C486" s="411" t="s">
        <v>721</v>
      </c>
      <c r="D486" s="410" t="s">
        <v>1022</v>
      </c>
      <c r="E486" s="412">
        <v>13541376.84</v>
      </c>
    </row>
    <row r="487" spans="1:5" ht="15">
      <c r="A487" s="411">
        <v>430100</v>
      </c>
      <c r="B487" s="411">
        <v>8100</v>
      </c>
      <c r="C487" s="411" t="s">
        <v>725</v>
      </c>
      <c r="D487" s="410" t="s">
        <v>1022</v>
      </c>
      <c r="E487" s="412">
        <v>38694</v>
      </c>
    </row>
    <row r="488" spans="1:5" ht="15">
      <c r="A488" s="411">
        <v>430110</v>
      </c>
      <c r="B488" s="411">
        <v>8000</v>
      </c>
      <c r="C488" s="411" t="s">
        <v>721</v>
      </c>
      <c r="D488" s="410" t="s">
        <v>1023</v>
      </c>
      <c r="E488" s="412">
        <v>6814200.7699999996</v>
      </c>
    </row>
    <row r="489" spans="1:5" ht="15">
      <c r="A489" s="411">
        <v>430110</v>
      </c>
      <c r="B489" s="411">
        <v>8100</v>
      </c>
      <c r="C489" s="411" t="s">
        <v>725</v>
      </c>
      <c r="D489" s="410" t="s">
        <v>1023</v>
      </c>
      <c r="E489" s="412">
        <v>824934.13</v>
      </c>
    </row>
    <row r="490" spans="1:5" ht="15">
      <c r="A490" s="411">
        <v>431010</v>
      </c>
      <c r="B490" s="411">
        <v>8000</v>
      </c>
      <c r="C490" s="411" t="s">
        <v>721</v>
      </c>
      <c r="D490" s="410" t="s">
        <v>1024</v>
      </c>
      <c r="E490" s="412">
        <v>14748.32</v>
      </c>
    </row>
    <row r="491" spans="1:5" ht="15">
      <c r="A491" s="411">
        <v>431030</v>
      </c>
      <c r="B491" s="411">
        <v>8000</v>
      </c>
      <c r="C491" s="411" t="s">
        <v>721</v>
      </c>
      <c r="D491" s="410" t="s">
        <v>1025</v>
      </c>
      <c r="E491" s="412">
        <v>26432</v>
      </c>
    </row>
    <row r="492" spans="1:5" ht="15">
      <c r="A492" s="411">
        <v>431050</v>
      </c>
      <c r="B492" s="411">
        <v>8000</v>
      </c>
      <c r="C492" s="411" t="s">
        <v>721</v>
      </c>
      <c r="D492" s="410" t="s">
        <v>1027</v>
      </c>
      <c r="E492" s="412">
        <v>1274400</v>
      </c>
    </row>
    <row r="493" spans="1:5" ht="15">
      <c r="A493" s="411">
        <v>440010</v>
      </c>
      <c r="B493" s="411">
        <v>8000</v>
      </c>
      <c r="C493" s="411" t="s">
        <v>721</v>
      </c>
      <c r="D493" s="410" t="s">
        <v>1029</v>
      </c>
      <c r="E493" s="412">
        <v>18019729</v>
      </c>
    </row>
    <row r="494" spans="1:5" ht="15">
      <c r="A494" s="411">
        <v>440030</v>
      </c>
      <c r="B494" s="411">
        <v>8000</v>
      </c>
      <c r="C494" s="411" t="s">
        <v>721</v>
      </c>
      <c r="D494" s="410" t="s">
        <v>190</v>
      </c>
      <c r="E494" s="412">
        <v>115032</v>
      </c>
    </row>
    <row r="495" spans="1:5" ht="15">
      <c r="A495" s="411">
        <v>440030</v>
      </c>
      <c r="B495" s="411">
        <v>8100</v>
      </c>
      <c r="C495" s="411" t="s">
        <v>725</v>
      </c>
      <c r="D495" s="410" t="s">
        <v>190</v>
      </c>
      <c r="E495" s="412">
        <v>94462.17</v>
      </c>
    </row>
    <row r="496" spans="1:5" ht="15">
      <c r="A496" s="411">
        <v>440040</v>
      </c>
      <c r="B496" s="411">
        <v>8100</v>
      </c>
      <c r="C496" s="411" t="s">
        <v>725</v>
      </c>
      <c r="D496" s="410" t="s">
        <v>1030</v>
      </c>
      <c r="E496" s="412">
        <v>0</v>
      </c>
    </row>
    <row r="497" spans="1:5" ht="15">
      <c r="A497" s="411">
        <v>440050</v>
      </c>
      <c r="B497" s="411">
        <v>8000</v>
      </c>
      <c r="C497" s="411" t="s">
        <v>721</v>
      </c>
      <c r="D497" s="410" t="s">
        <v>184</v>
      </c>
      <c r="E497" s="412">
        <v>14778160</v>
      </c>
    </row>
    <row r="498" spans="1:5" ht="15">
      <c r="A498" s="411">
        <v>440050</v>
      </c>
      <c r="B498" s="411">
        <v>8100</v>
      </c>
      <c r="C498" s="411" t="s">
        <v>725</v>
      </c>
      <c r="D498" s="410" t="s">
        <v>184</v>
      </c>
      <c r="E498" s="412">
        <v>3285600</v>
      </c>
    </row>
    <row r="499" spans="1:5" ht="15">
      <c r="A499" s="411">
        <v>440060</v>
      </c>
      <c r="B499" s="411">
        <v>8000</v>
      </c>
      <c r="C499" s="411" t="s">
        <v>721</v>
      </c>
      <c r="D499" s="410" t="s">
        <v>1031</v>
      </c>
      <c r="E499" s="412">
        <v>380307</v>
      </c>
    </row>
    <row r="500" spans="1:5" ht="15">
      <c r="A500" s="411">
        <v>440060</v>
      </c>
      <c r="B500" s="411">
        <v>8100</v>
      </c>
      <c r="C500" s="411" t="s">
        <v>725</v>
      </c>
      <c r="D500" s="410" t="s">
        <v>1031</v>
      </c>
      <c r="E500" s="412">
        <v>20990</v>
      </c>
    </row>
    <row r="501" spans="1:5" ht="15">
      <c r="A501" s="411">
        <v>440070</v>
      </c>
      <c r="B501" s="411">
        <v>8000</v>
      </c>
      <c r="C501" s="411" t="s">
        <v>721</v>
      </c>
      <c r="D501" s="410" t="s">
        <v>1032</v>
      </c>
      <c r="E501" s="412">
        <v>0</v>
      </c>
    </row>
    <row r="502" spans="1:5" ht="15">
      <c r="A502" s="411">
        <v>440080</v>
      </c>
      <c r="B502" s="411">
        <v>8000</v>
      </c>
      <c r="C502" s="411" t="s">
        <v>721</v>
      </c>
      <c r="D502" s="410" t="s">
        <v>1033</v>
      </c>
      <c r="E502" s="412">
        <v>184407</v>
      </c>
    </row>
    <row r="503" spans="1:5" ht="15">
      <c r="A503" s="411">
        <v>440080</v>
      </c>
      <c r="B503" s="411">
        <v>8100</v>
      </c>
      <c r="C503" s="411" t="s">
        <v>725</v>
      </c>
      <c r="D503" s="410" t="s">
        <v>1033</v>
      </c>
      <c r="E503" s="412">
        <v>34285</v>
      </c>
    </row>
    <row r="504" spans="1:5" ht="15">
      <c r="A504" s="411">
        <v>440090</v>
      </c>
      <c r="B504" s="411">
        <v>8000</v>
      </c>
      <c r="C504" s="411" t="s">
        <v>721</v>
      </c>
      <c r="D504" s="410" t="s">
        <v>1034</v>
      </c>
      <c r="E504" s="412">
        <v>889815.29</v>
      </c>
    </row>
    <row r="505" spans="1:5" ht="15">
      <c r="A505" s="411">
        <v>440090</v>
      </c>
      <c r="B505" s="411">
        <v>8100</v>
      </c>
      <c r="C505" s="411" t="s">
        <v>725</v>
      </c>
      <c r="D505" s="410" t="s">
        <v>1034</v>
      </c>
      <c r="E505" s="412">
        <v>1008655.72</v>
      </c>
    </row>
    <row r="506" spans="1:5" ht="15">
      <c r="A506" s="411">
        <v>440100</v>
      </c>
      <c r="B506" s="411">
        <v>8000</v>
      </c>
      <c r="C506" s="411" t="s">
        <v>721</v>
      </c>
      <c r="D506" s="410" t="s">
        <v>1035</v>
      </c>
      <c r="E506" s="412">
        <v>2321887.2000000002</v>
      </c>
    </row>
    <row r="507" spans="1:5" ht="15">
      <c r="A507" s="411">
        <v>440100</v>
      </c>
      <c r="B507" s="411">
        <v>8100</v>
      </c>
      <c r="C507" s="411" t="s">
        <v>725</v>
      </c>
      <c r="D507" s="410" t="s">
        <v>1035</v>
      </c>
      <c r="E507" s="412">
        <v>1963411.46</v>
      </c>
    </row>
    <row r="508" spans="1:5" ht="15">
      <c r="A508" s="411">
        <v>440111</v>
      </c>
      <c r="B508" s="411">
        <v>8000</v>
      </c>
      <c r="C508" s="411" t="s">
        <v>721</v>
      </c>
      <c r="D508" s="410" t="s">
        <v>1037</v>
      </c>
      <c r="E508" s="412">
        <v>10</v>
      </c>
    </row>
    <row r="509" spans="1:5" ht="15">
      <c r="A509" s="411">
        <v>440170</v>
      </c>
      <c r="B509" s="411">
        <v>8000</v>
      </c>
      <c r="C509" s="411" t="s">
        <v>721</v>
      </c>
      <c r="D509" s="410" t="s">
        <v>1038</v>
      </c>
      <c r="E509" s="412">
        <v>0</v>
      </c>
    </row>
    <row r="510" spans="1:5" ht="15">
      <c r="A510" s="411">
        <v>443010</v>
      </c>
      <c r="B510" s="411">
        <v>8000</v>
      </c>
      <c r="C510" s="411" t="s">
        <v>721</v>
      </c>
      <c r="D510" s="410" t="s">
        <v>1039</v>
      </c>
      <c r="E510" s="412">
        <v>202359</v>
      </c>
    </row>
    <row r="511" spans="1:5" ht="15">
      <c r="A511" s="411">
        <v>443030</v>
      </c>
      <c r="B511" s="411">
        <v>8000</v>
      </c>
      <c r="C511" s="411" t="s">
        <v>721</v>
      </c>
      <c r="D511" s="410" t="s">
        <v>1040</v>
      </c>
      <c r="E511" s="412">
        <v>300</v>
      </c>
    </row>
    <row r="512" spans="1:5" ht="15">
      <c r="A512" s="411">
        <v>443030</v>
      </c>
      <c r="B512" s="411">
        <v>8100</v>
      </c>
      <c r="C512" s="411" t="s">
        <v>725</v>
      </c>
      <c r="D512" s="410" t="s">
        <v>1040</v>
      </c>
      <c r="E512" s="412">
        <v>455255.65</v>
      </c>
    </row>
    <row r="513" spans="1:11" ht="15">
      <c r="A513" s="411">
        <v>444010</v>
      </c>
      <c r="B513" s="411">
        <v>8000</v>
      </c>
      <c r="C513" s="411" t="s">
        <v>721</v>
      </c>
      <c r="D513" s="410" t="s">
        <v>1041</v>
      </c>
      <c r="E513" s="412">
        <v>476655.7</v>
      </c>
    </row>
    <row r="514" spans="1:11" ht="15">
      <c r="A514" s="411">
        <v>444010</v>
      </c>
      <c r="B514" s="411">
        <v>8100</v>
      </c>
      <c r="C514" s="411" t="s">
        <v>725</v>
      </c>
      <c r="D514" s="410" t="s">
        <v>1041</v>
      </c>
      <c r="E514" s="412">
        <v>7376</v>
      </c>
    </row>
    <row r="515" spans="1:11" ht="15">
      <c r="A515" s="411">
        <v>447040</v>
      </c>
      <c r="B515" s="411">
        <v>8000</v>
      </c>
      <c r="C515" s="411" t="s">
        <v>721</v>
      </c>
      <c r="D515" s="410" t="s">
        <v>1042</v>
      </c>
      <c r="E515" s="412">
        <v>-2420911.83</v>
      </c>
      <c r="G515" s="380"/>
      <c r="H515" s="380"/>
      <c r="J515" s="380">
        <v>66194243.420000017</v>
      </c>
      <c r="K515" s="380">
        <v>66195428.130000018</v>
      </c>
    </row>
    <row r="516" spans="1:11" ht="15">
      <c r="A516" s="411">
        <v>450010</v>
      </c>
      <c r="B516" s="411">
        <v>8000</v>
      </c>
      <c r="C516" s="411" t="s">
        <v>721</v>
      </c>
      <c r="D516" s="410" t="s">
        <v>1043</v>
      </c>
      <c r="E516" s="412">
        <v>383925.57</v>
      </c>
    </row>
    <row r="517" spans="1:11" ht="15">
      <c r="A517" s="411">
        <v>450010</v>
      </c>
      <c r="B517" s="411">
        <v>8100</v>
      </c>
      <c r="C517" s="411" t="s">
        <v>725</v>
      </c>
      <c r="D517" s="410" t="s">
        <v>1043</v>
      </c>
      <c r="E517" s="412">
        <v>277095.71000000002</v>
      </c>
    </row>
    <row r="518" spans="1:11" ht="15">
      <c r="A518" s="411">
        <v>450020</v>
      </c>
      <c r="B518" s="411">
        <v>8000</v>
      </c>
      <c r="C518" s="411" t="s">
        <v>721</v>
      </c>
      <c r="D518" s="410" t="s">
        <v>1044</v>
      </c>
      <c r="E518" s="412">
        <v>3052085.15</v>
      </c>
    </row>
    <row r="519" spans="1:11" ht="15">
      <c r="A519" s="411">
        <v>450020</v>
      </c>
      <c r="B519" s="411">
        <v>8100</v>
      </c>
      <c r="C519" s="411" t="s">
        <v>725</v>
      </c>
      <c r="D519" s="410" t="s">
        <v>1044</v>
      </c>
      <c r="E519" s="412">
        <v>547655.30000000005</v>
      </c>
    </row>
    <row r="520" spans="1:11" ht="15">
      <c r="A520" s="411">
        <v>450030</v>
      </c>
      <c r="B520" s="411">
        <v>8000</v>
      </c>
      <c r="C520" s="411" t="s">
        <v>721</v>
      </c>
      <c r="D520" s="410" t="s">
        <v>1045</v>
      </c>
      <c r="E520" s="412">
        <v>149.88</v>
      </c>
    </row>
    <row r="521" spans="1:11" ht="15">
      <c r="A521" s="411">
        <v>450030</v>
      </c>
      <c r="B521" s="411">
        <v>8100</v>
      </c>
      <c r="C521" s="411" t="s">
        <v>725</v>
      </c>
      <c r="D521" s="410" t="s">
        <v>1045</v>
      </c>
      <c r="E521" s="412">
        <v>0</v>
      </c>
    </row>
    <row r="522" spans="1:11" ht="15">
      <c r="A522" s="411">
        <v>450040</v>
      </c>
      <c r="B522" s="411">
        <v>8000</v>
      </c>
      <c r="C522" s="411" t="s">
        <v>721</v>
      </c>
      <c r="D522" s="410" t="s">
        <v>1046</v>
      </c>
      <c r="E522" s="412">
        <v>7398.92</v>
      </c>
    </row>
    <row r="523" spans="1:11" ht="15">
      <c r="A523" s="411">
        <v>450040</v>
      </c>
      <c r="B523" s="411">
        <v>8100</v>
      </c>
      <c r="C523" s="411" t="s">
        <v>725</v>
      </c>
      <c r="D523" s="410" t="s">
        <v>1046</v>
      </c>
      <c r="E523" s="412">
        <v>15704.22</v>
      </c>
    </row>
    <row r="524" spans="1:11" ht="15">
      <c r="A524" s="411">
        <v>450050</v>
      </c>
      <c r="B524" s="411">
        <v>8000</v>
      </c>
      <c r="C524" s="411" t="s">
        <v>721</v>
      </c>
      <c r="D524" s="410" t="s">
        <v>1047</v>
      </c>
      <c r="E524" s="412">
        <v>30662.5</v>
      </c>
    </row>
    <row r="525" spans="1:11" ht="15">
      <c r="A525" s="411">
        <v>450060</v>
      </c>
      <c r="B525" s="411">
        <v>8000</v>
      </c>
      <c r="C525" s="411" t="s">
        <v>721</v>
      </c>
      <c r="D525" s="410" t="s">
        <v>1048</v>
      </c>
      <c r="E525" s="412">
        <v>99014.46</v>
      </c>
    </row>
    <row r="526" spans="1:11" ht="15">
      <c r="A526" s="411">
        <v>450070</v>
      </c>
      <c r="B526" s="411">
        <v>8000</v>
      </c>
      <c r="C526" s="411" t="s">
        <v>721</v>
      </c>
      <c r="D526" s="410" t="s">
        <v>1049</v>
      </c>
      <c r="E526" s="412">
        <v>519658.49</v>
      </c>
    </row>
    <row r="527" spans="1:11" ht="15">
      <c r="A527" s="411">
        <v>450070</v>
      </c>
      <c r="B527" s="411">
        <v>8100</v>
      </c>
      <c r="C527" s="411" t="s">
        <v>725</v>
      </c>
      <c r="D527" s="410" t="s">
        <v>1049</v>
      </c>
      <c r="E527" s="412">
        <v>123681.79</v>
      </c>
    </row>
    <row r="528" spans="1:11" ht="15">
      <c r="A528" s="411">
        <v>450080</v>
      </c>
      <c r="B528" s="411">
        <v>8000</v>
      </c>
      <c r="C528" s="411" t="s">
        <v>721</v>
      </c>
      <c r="D528" s="410" t="s">
        <v>1050</v>
      </c>
      <c r="E528" s="412">
        <v>3681744.6</v>
      </c>
    </row>
    <row r="529" spans="1:5" ht="15">
      <c r="A529" s="411">
        <v>450080</v>
      </c>
      <c r="B529" s="411">
        <v>8100</v>
      </c>
      <c r="C529" s="411" t="s">
        <v>725</v>
      </c>
      <c r="D529" s="410" t="s">
        <v>1050</v>
      </c>
      <c r="E529" s="412">
        <v>68644.679999999993</v>
      </c>
    </row>
    <row r="530" spans="1:5" ht="15">
      <c r="A530" s="411">
        <v>450140</v>
      </c>
      <c r="B530" s="411">
        <v>8000</v>
      </c>
      <c r="C530" s="411" t="s">
        <v>721</v>
      </c>
      <c r="D530" s="410" t="s">
        <v>1051</v>
      </c>
      <c r="E530" s="412">
        <v>0</v>
      </c>
    </row>
    <row r="531" spans="1:5" ht="15">
      <c r="A531" s="411">
        <v>450170</v>
      </c>
      <c r="B531" s="411">
        <v>8000</v>
      </c>
      <c r="C531" s="411" t="s">
        <v>721</v>
      </c>
      <c r="D531" s="410" t="s">
        <v>1052</v>
      </c>
      <c r="E531" s="412">
        <v>2833.59</v>
      </c>
    </row>
    <row r="532" spans="1:5" ht="15">
      <c r="A532" s="411">
        <v>450190</v>
      </c>
      <c r="B532" s="411">
        <v>8000</v>
      </c>
      <c r="C532" s="411" t="s">
        <v>721</v>
      </c>
      <c r="D532" s="410" t="s">
        <v>1053</v>
      </c>
      <c r="E532" s="412">
        <v>1876730.71</v>
      </c>
    </row>
    <row r="533" spans="1:5" ht="15">
      <c r="A533" s="411">
        <v>450190</v>
      </c>
      <c r="B533" s="411">
        <v>8100</v>
      </c>
      <c r="C533" s="411" t="s">
        <v>725</v>
      </c>
      <c r="D533" s="410" t="s">
        <v>1053</v>
      </c>
      <c r="E533" s="412">
        <v>487996.71</v>
      </c>
    </row>
    <row r="534" spans="1:5" ht="15">
      <c r="A534" s="411">
        <v>453010</v>
      </c>
      <c r="B534" s="411">
        <v>8000</v>
      </c>
      <c r="C534" s="411" t="s">
        <v>721</v>
      </c>
      <c r="D534" s="410" t="s">
        <v>1054</v>
      </c>
      <c r="E534" s="412">
        <v>14727.18</v>
      </c>
    </row>
    <row r="535" spans="1:5" ht="15">
      <c r="A535" s="411">
        <v>472080</v>
      </c>
      <c r="B535" s="411">
        <v>8000</v>
      </c>
      <c r="C535" s="411" t="s">
        <v>721</v>
      </c>
      <c r="D535" s="410" t="s">
        <v>1055</v>
      </c>
      <c r="E535" s="412">
        <v>226662</v>
      </c>
    </row>
    <row r="536" spans="1:5" ht="15">
      <c r="A536" s="411">
        <v>473010</v>
      </c>
      <c r="B536" s="411">
        <v>8000</v>
      </c>
      <c r="C536" s="411" t="s">
        <v>721</v>
      </c>
      <c r="D536" s="410" t="s">
        <v>202</v>
      </c>
      <c r="E536" s="412">
        <v>1184.71</v>
      </c>
    </row>
    <row r="537" spans="1:5" ht="15">
      <c r="A537" s="411">
        <v>473010</v>
      </c>
      <c r="B537" s="411">
        <v>8100</v>
      </c>
      <c r="C537" s="411" t="s">
        <v>725</v>
      </c>
      <c r="D537" s="410" t="s">
        <v>202</v>
      </c>
      <c r="E537" s="412">
        <v>0</v>
      </c>
    </row>
    <row r="538" spans="1:5" ht="15">
      <c r="A538" s="411">
        <v>474030</v>
      </c>
      <c r="B538" s="411">
        <v>8000</v>
      </c>
      <c r="C538" s="411" t="s">
        <v>721</v>
      </c>
      <c r="D538" s="410" t="s">
        <v>1056</v>
      </c>
      <c r="E538" s="412">
        <v>0</v>
      </c>
    </row>
    <row r="539" spans="1:5" ht="15">
      <c r="A539" s="411">
        <v>475181</v>
      </c>
      <c r="B539" s="411">
        <v>8100</v>
      </c>
      <c r="C539" s="411" t="s">
        <v>725</v>
      </c>
      <c r="D539" s="410" t="s">
        <v>1058</v>
      </c>
      <c r="E539" s="412">
        <v>0</v>
      </c>
    </row>
    <row r="540" spans="1:5" ht="15">
      <c r="A540" s="411">
        <v>476030</v>
      </c>
      <c r="B540" s="411">
        <v>8000</v>
      </c>
      <c r="C540" s="411" t="s">
        <v>721</v>
      </c>
      <c r="D540" s="410" t="s">
        <v>1060</v>
      </c>
      <c r="E540" s="412">
        <v>228.76</v>
      </c>
    </row>
    <row r="541" spans="1:5" ht="15">
      <c r="A541" s="411">
        <v>476030</v>
      </c>
      <c r="B541" s="411">
        <v>8100</v>
      </c>
      <c r="C541" s="411" t="s">
        <v>725</v>
      </c>
      <c r="D541" s="410" t="s">
        <v>1060</v>
      </c>
      <c r="E541" s="412">
        <v>0.52</v>
      </c>
    </row>
    <row r="542" spans="1:5" ht="15">
      <c r="A542" s="411">
        <v>500005</v>
      </c>
      <c r="B542" s="411">
        <v>8000</v>
      </c>
      <c r="C542" s="411" t="s">
        <v>721</v>
      </c>
      <c r="D542" s="410" t="s">
        <v>1061</v>
      </c>
      <c r="E542" s="412">
        <v>0</v>
      </c>
    </row>
    <row r="543" spans="1:5" ht="15">
      <c r="A543" s="411">
        <v>500005</v>
      </c>
      <c r="B543" s="411">
        <v>8100</v>
      </c>
      <c r="C543" s="411" t="s">
        <v>725</v>
      </c>
      <c r="D543" s="410" t="s">
        <v>1061</v>
      </c>
      <c r="E543" s="412">
        <v>0</v>
      </c>
    </row>
    <row r="544" spans="1:5" ht="15">
      <c r="A544" s="411">
        <v>500022</v>
      </c>
      <c r="B544" s="411">
        <v>8000</v>
      </c>
      <c r="C544" s="411" t="s">
        <v>721</v>
      </c>
      <c r="D544" s="410" t="s">
        <v>1062</v>
      </c>
      <c r="E544" s="412">
        <v>-60449370</v>
      </c>
    </row>
    <row r="545" spans="1:9" ht="15">
      <c r="A545" s="411">
        <v>500022</v>
      </c>
      <c r="B545" s="411">
        <v>8100</v>
      </c>
      <c r="C545" s="411" t="s">
        <v>725</v>
      </c>
      <c r="D545" s="410" t="s">
        <v>1062</v>
      </c>
      <c r="E545" s="412">
        <v>-20321053</v>
      </c>
    </row>
    <row r="547" spans="1:9" ht="15">
      <c r="A547" s="409"/>
      <c r="B547" s="409"/>
      <c r="C547" s="409"/>
      <c r="D547" s="409"/>
      <c r="E547" s="418">
        <f>SUM(E4:E545)</f>
        <v>-4.76837158203125E-7</v>
      </c>
    </row>
    <row r="548" spans="1:9" ht="25.5">
      <c r="A548" s="393" t="s">
        <v>1073</v>
      </c>
      <c r="B548" s="393" t="s">
        <v>1074</v>
      </c>
      <c r="C548" s="393" t="s">
        <v>1075</v>
      </c>
      <c r="D548" s="393" t="s">
        <v>1076</v>
      </c>
      <c r="E548" s="393" t="s">
        <v>1077</v>
      </c>
      <c r="F548" s="393" t="s">
        <v>1078</v>
      </c>
      <c r="G548" s="393" t="s">
        <v>1079</v>
      </c>
      <c r="H548" s="393" t="s">
        <v>4</v>
      </c>
      <c r="I548" s="398" t="s">
        <v>1114</v>
      </c>
    </row>
    <row r="549" spans="1:9">
      <c r="A549" s="385">
        <v>440010</v>
      </c>
      <c r="B549" s="385" t="s">
        <v>1164</v>
      </c>
      <c r="C549" s="385">
        <v>100003707</v>
      </c>
      <c r="D549" s="384">
        <v>45383</v>
      </c>
      <c r="E549" s="384">
        <v>45383</v>
      </c>
      <c r="F549" s="396">
        <v>-10000000</v>
      </c>
      <c r="G549" s="385" t="s">
        <v>1165</v>
      </c>
      <c r="H549" s="385" t="s">
        <v>1164</v>
      </c>
      <c r="I549" s="385">
        <v>150030</v>
      </c>
    </row>
    <row r="550" spans="1:9">
      <c r="A550" s="385">
        <v>440010</v>
      </c>
      <c r="B550" s="385" t="s">
        <v>1164</v>
      </c>
      <c r="C550" s="385">
        <v>100003707</v>
      </c>
      <c r="D550" s="384">
        <v>45383</v>
      </c>
      <c r="E550" s="384">
        <v>45383</v>
      </c>
      <c r="F550" s="396">
        <v>-6188109</v>
      </c>
      <c r="G550" s="385" t="s">
        <v>1165</v>
      </c>
      <c r="H550" s="385" t="s">
        <v>1164</v>
      </c>
      <c r="I550" s="385">
        <v>150030</v>
      </c>
    </row>
    <row r="551" spans="1:9">
      <c r="A551" s="385">
        <v>440010</v>
      </c>
      <c r="B551" s="385" t="s">
        <v>1164</v>
      </c>
      <c r="C551" s="385">
        <v>100003707</v>
      </c>
      <c r="D551" s="384">
        <v>45383</v>
      </c>
      <c r="E551" s="384">
        <v>45383</v>
      </c>
      <c r="F551" s="396">
        <v>-6217154</v>
      </c>
      <c r="G551" s="385" t="s">
        <v>1165</v>
      </c>
      <c r="H551" s="385" t="s">
        <v>1164</v>
      </c>
      <c r="I551" s="385">
        <v>150030</v>
      </c>
    </row>
    <row r="552" spans="1:9">
      <c r="A552" s="385">
        <v>440010</v>
      </c>
      <c r="B552" s="385" t="s">
        <v>1164</v>
      </c>
      <c r="C552" s="385">
        <v>100003707</v>
      </c>
      <c r="D552" s="384">
        <v>45383</v>
      </c>
      <c r="E552" s="384">
        <v>45383</v>
      </c>
      <c r="F552" s="396">
        <v>-6188109</v>
      </c>
      <c r="G552" s="385" t="s">
        <v>1165</v>
      </c>
      <c r="H552" s="385" t="s">
        <v>1164</v>
      </c>
      <c r="I552" s="385">
        <v>150030</v>
      </c>
    </row>
    <row r="553" spans="1:9">
      <c r="A553" s="385">
        <v>440010</v>
      </c>
      <c r="B553" s="385" t="s">
        <v>1166</v>
      </c>
      <c r="C553" s="385">
        <v>100007715</v>
      </c>
      <c r="D553" s="384">
        <v>45405</v>
      </c>
      <c r="E553" s="384">
        <v>45405</v>
      </c>
      <c r="F553" s="396">
        <v>10000000</v>
      </c>
      <c r="G553" s="385" t="s">
        <v>1167</v>
      </c>
      <c r="H553" s="385" t="s">
        <v>1168</v>
      </c>
      <c r="I553" s="385">
        <v>285039</v>
      </c>
    </row>
    <row r="554" spans="1:9">
      <c r="A554" s="385">
        <v>440010</v>
      </c>
      <c r="B554" s="385" t="s">
        <v>1169</v>
      </c>
      <c r="C554" s="385">
        <v>100015336</v>
      </c>
      <c r="D554" s="384">
        <v>45414</v>
      </c>
      <c r="E554" s="384">
        <v>45414</v>
      </c>
      <c r="F554" s="396">
        <v>6188109</v>
      </c>
      <c r="G554" s="385" t="s">
        <v>1170</v>
      </c>
      <c r="H554" s="385" t="s">
        <v>1133</v>
      </c>
      <c r="I554" s="385">
        <v>285039</v>
      </c>
    </row>
    <row r="555" spans="1:9">
      <c r="A555" s="385">
        <v>440010</v>
      </c>
      <c r="B555" s="385" t="s">
        <v>1171</v>
      </c>
      <c r="C555" s="385">
        <v>100019101</v>
      </c>
      <c r="D555" s="384">
        <v>45426</v>
      </c>
      <c r="E555" s="384">
        <v>45426</v>
      </c>
      <c r="F555" s="396">
        <v>6188109</v>
      </c>
      <c r="G555" s="385" t="s">
        <v>1172</v>
      </c>
      <c r="H555" s="385" t="s">
        <v>1173</v>
      </c>
      <c r="I555" s="385">
        <v>285039</v>
      </c>
    </row>
    <row r="556" spans="1:9">
      <c r="A556" s="385">
        <v>440010</v>
      </c>
      <c r="B556" s="385" t="s">
        <v>1119</v>
      </c>
      <c r="C556" s="385">
        <v>100039642</v>
      </c>
      <c r="D556" s="384">
        <v>45450</v>
      </c>
      <c r="E556" s="384">
        <v>45450</v>
      </c>
      <c r="F556" s="396">
        <v>6217154</v>
      </c>
      <c r="G556" s="385" t="s">
        <v>1174</v>
      </c>
      <c r="H556" s="385" t="s">
        <v>1175</v>
      </c>
      <c r="I556" s="385">
        <v>285039</v>
      </c>
    </row>
    <row r="557" spans="1:9">
      <c r="A557" s="385">
        <v>440010</v>
      </c>
      <c r="B557" s="385" t="s">
        <v>1176</v>
      </c>
      <c r="C557" s="385">
        <v>100061049</v>
      </c>
      <c r="D557" s="384">
        <v>45482</v>
      </c>
      <c r="E557" s="384">
        <v>45482</v>
      </c>
      <c r="F557" s="396">
        <v>6217154</v>
      </c>
      <c r="G557" s="385" t="s">
        <v>1177</v>
      </c>
      <c r="H557" s="385" t="s">
        <v>1178</v>
      </c>
      <c r="I557" s="385">
        <v>285039</v>
      </c>
    </row>
    <row r="558" spans="1:9">
      <c r="A558" s="385">
        <v>440010</v>
      </c>
      <c r="B558" s="385" t="s">
        <v>1179</v>
      </c>
      <c r="C558" s="385">
        <v>100099596</v>
      </c>
      <c r="D558" s="384">
        <v>45532</v>
      </c>
      <c r="E558" s="384">
        <v>45532</v>
      </c>
      <c r="F558" s="396">
        <v>5765807</v>
      </c>
      <c r="G558" s="385" t="s">
        <v>1180</v>
      </c>
      <c r="H558" s="385" t="s">
        <v>1181</v>
      </c>
      <c r="I558" s="385">
        <v>285039</v>
      </c>
    </row>
    <row r="559" spans="1:9">
      <c r="A559" s="385">
        <v>440010</v>
      </c>
      <c r="B559" s="385" t="s">
        <v>1182</v>
      </c>
      <c r="C559" s="385">
        <v>100110390</v>
      </c>
      <c r="D559" s="384">
        <v>45544</v>
      </c>
      <c r="E559" s="384">
        <v>45544</v>
      </c>
      <c r="F559" s="396">
        <v>6036268</v>
      </c>
      <c r="G559" s="385" t="s">
        <v>1182</v>
      </c>
      <c r="H559" s="385" t="s">
        <v>1183</v>
      </c>
      <c r="I559" s="385">
        <v>285039</v>
      </c>
    </row>
    <row r="560" spans="1:9">
      <c r="A560" s="389"/>
      <c r="B560" s="389"/>
      <c r="C560" s="389"/>
      <c r="D560" s="381"/>
      <c r="E560" s="381"/>
      <c r="F560" s="408">
        <v>18019229</v>
      </c>
      <c r="G560" s="389"/>
      <c r="H560" s="389"/>
      <c r="I560" s="389"/>
    </row>
    <row r="562" spans="6:6">
      <c r="F562" s="380"/>
    </row>
  </sheetData>
  <pageMargins left="0.7" right="0.7" top="0.75" bottom="0.75" header="0.3" footer="0.3"/>
  <pageSetup scale="67" fitToHeight="0" pageOrder="overThenDown"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B1:T22"/>
  <sheetViews>
    <sheetView showGridLines="0" view="pageBreakPreview" topLeftCell="F1" zoomScale="70" zoomScaleSheetLayoutView="70" workbookViewId="0">
      <selection activeCell="S12" sqref="S12"/>
    </sheetView>
  </sheetViews>
  <sheetFormatPr defaultColWidth="9.28515625" defaultRowHeight="15"/>
  <cols>
    <col min="1" max="1" width="4.28515625" style="112" customWidth="1"/>
    <col min="2" max="2" width="6.28515625" style="112" customWidth="1"/>
    <col min="3" max="3" width="46.42578125" style="112" customWidth="1"/>
    <col min="4" max="6" width="13" style="112" customWidth="1"/>
    <col min="7" max="7" width="17.42578125" style="112" customWidth="1"/>
    <col min="8" max="8" width="15.7109375" style="112" customWidth="1"/>
    <col min="9" max="9" width="19.28515625" style="112" customWidth="1"/>
    <col min="10" max="10" width="15.7109375" style="112" customWidth="1"/>
    <col min="11" max="13" width="18.7109375" style="112" customWidth="1"/>
    <col min="14" max="14" width="20.42578125" style="112" customWidth="1"/>
    <col min="15" max="15" width="18.7109375" style="112" customWidth="1"/>
    <col min="16" max="19" width="16" style="112" customWidth="1"/>
    <col min="20" max="20" width="14.42578125" style="112" customWidth="1"/>
    <col min="21" max="16384" width="9.28515625" style="112"/>
  </cols>
  <sheetData>
    <row r="1" spans="2:20">
      <c r="B1" s="111"/>
    </row>
    <row r="2" spans="2:20">
      <c r="C2" s="122"/>
      <c r="D2" s="122"/>
      <c r="E2" s="122"/>
      <c r="F2" s="122"/>
      <c r="G2" s="122"/>
      <c r="H2" s="122"/>
      <c r="I2" s="81" t="s">
        <v>0</v>
      </c>
      <c r="K2" s="122"/>
      <c r="L2" s="122"/>
      <c r="M2" s="122"/>
      <c r="N2" s="122"/>
      <c r="O2" s="122"/>
    </row>
    <row r="3" spans="2:20">
      <c r="C3" s="122"/>
      <c r="D3" s="122"/>
      <c r="E3" s="122"/>
      <c r="F3" s="122"/>
      <c r="G3" s="122"/>
      <c r="H3" s="122"/>
      <c r="I3" s="88" t="s">
        <v>1</v>
      </c>
      <c r="K3" s="122"/>
      <c r="L3" s="122"/>
      <c r="M3" s="122"/>
      <c r="N3" s="122"/>
      <c r="O3" s="122"/>
    </row>
    <row r="4" spans="2:20">
      <c r="C4" s="168"/>
      <c r="D4" s="168"/>
      <c r="E4" s="168"/>
      <c r="F4" s="168"/>
      <c r="G4" s="168"/>
      <c r="H4" s="168"/>
      <c r="I4" s="113" t="s">
        <v>247</v>
      </c>
      <c r="J4" s="168"/>
      <c r="K4" s="168"/>
      <c r="L4" s="168"/>
      <c r="M4" s="168"/>
      <c r="N4" s="168"/>
      <c r="O4" s="168"/>
    </row>
    <row r="5" spans="2:20">
      <c r="B5" s="113"/>
      <c r="C5" s="169"/>
      <c r="D5" s="169"/>
      <c r="E5" s="169"/>
      <c r="F5" s="169"/>
      <c r="G5" s="169"/>
      <c r="H5" s="169"/>
      <c r="I5" s="169"/>
      <c r="J5" s="169"/>
      <c r="K5" s="169"/>
      <c r="L5" s="169"/>
      <c r="M5" s="169"/>
      <c r="N5" s="169"/>
      <c r="O5" s="169"/>
    </row>
    <row r="6" spans="2:20">
      <c r="T6" s="114" t="s">
        <v>56</v>
      </c>
    </row>
    <row r="7" spans="2:20" s="115" customFormat="1">
      <c r="B7" s="1005" t="s">
        <v>2</v>
      </c>
      <c r="C7" s="1008" t="s">
        <v>57</v>
      </c>
      <c r="D7" s="963" t="s">
        <v>58</v>
      </c>
      <c r="E7" s="964"/>
      <c r="F7" s="965"/>
      <c r="G7" s="963" t="s">
        <v>59</v>
      </c>
      <c r="H7" s="964"/>
      <c r="I7" s="965"/>
      <c r="J7" s="963" t="s">
        <v>60</v>
      </c>
      <c r="K7" s="964"/>
      <c r="L7" s="964"/>
      <c r="M7" s="964"/>
      <c r="N7" s="965"/>
      <c r="O7" s="954" t="s">
        <v>61</v>
      </c>
      <c r="P7" s="954"/>
      <c r="Q7" s="954"/>
      <c r="R7" s="954"/>
      <c r="S7" s="954"/>
      <c r="T7" s="954" t="s">
        <v>62</v>
      </c>
    </row>
    <row r="8" spans="2:20" s="115" customFormat="1" ht="41.25" customHeight="1">
      <c r="B8" s="1006"/>
      <c r="C8" s="1008"/>
      <c r="D8" s="198" t="s">
        <v>63</v>
      </c>
      <c r="E8" s="198" t="s">
        <v>64</v>
      </c>
      <c r="F8" s="198" t="s">
        <v>65</v>
      </c>
      <c r="G8" s="198" t="s">
        <v>63</v>
      </c>
      <c r="H8" s="198" t="s">
        <v>64</v>
      </c>
      <c r="I8" s="198" t="s">
        <v>65</v>
      </c>
      <c r="J8" s="198" t="s">
        <v>63</v>
      </c>
      <c r="K8" s="198" t="s">
        <v>66</v>
      </c>
      <c r="L8" s="198" t="s">
        <v>67</v>
      </c>
      <c r="M8" s="198" t="s">
        <v>68</v>
      </c>
      <c r="N8" s="198" t="s">
        <v>69</v>
      </c>
      <c r="O8" s="198" t="s">
        <v>70</v>
      </c>
      <c r="P8" s="198" t="s">
        <v>71</v>
      </c>
      <c r="Q8" s="198" t="s">
        <v>72</v>
      </c>
      <c r="R8" s="198" t="s">
        <v>73</v>
      </c>
      <c r="S8" s="198" t="s">
        <v>74</v>
      </c>
      <c r="T8" s="954"/>
    </row>
    <row r="9" spans="2:20" s="115" customFormat="1" ht="28.5">
      <c r="B9" s="1007"/>
      <c r="C9" s="1009"/>
      <c r="D9" s="198" t="s">
        <v>75</v>
      </c>
      <c r="E9" s="198" t="s">
        <v>76</v>
      </c>
      <c r="F9" s="198" t="s">
        <v>77</v>
      </c>
      <c r="G9" s="198" t="s">
        <v>78</v>
      </c>
      <c r="H9" s="198" t="s">
        <v>79</v>
      </c>
      <c r="I9" s="198" t="s">
        <v>80</v>
      </c>
      <c r="J9" s="198" t="s">
        <v>81</v>
      </c>
      <c r="K9" s="198" t="s">
        <v>82</v>
      </c>
      <c r="L9" s="198" t="s">
        <v>83</v>
      </c>
      <c r="M9" s="198" t="s">
        <v>84</v>
      </c>
      <c r="N9" s="198" t="s">
        <v>85</v>
      </c>
      <c r="O9" s="198" t="s">
        <v>86</v>
      </c>
      <c r="P9" s="198" t="s">
        <v>86</v>
      </c>
      <c r="Q9" s="198" t="s">
        <v>86</v>
      </c>
      <c r="R9" s="198" t="s">
        <v>86</v>
      </c>
      <c r="S9" s="198" t="s">
        <v>86</v>
      </c>
      <c r="T9" s="955"/>
    </row>
    <row r="10" spans="2:20" s="119" customFormat="1">
      <c r="B10" s="116">
        <v>1</v>
      </c>
      <c r="C10" s="117" t="s">
        <v>248</v>
      </c>
      <c r="D10" s="117"/>
      <c r="E10" s="502">
        <f>(54453016.08-E22)/10^5</f>
        <v>652.23464679999995</v>
      </c>
      <c r="F10" s="117"/>
      <c r="G10" s="118"/>
      <c r="H10" s="505">
        <f>(38598948.47-H22)/10^5</f>
        <v>404.14802829999996</v>
      </c>
      <c r="I10" s="117"/>
      <c r="J10" s="117"/>
      <c r="K10" s="170"/>
      <c r="L10" s="170"/>
      <c r="M10" s="170">
        <f>F3.2!R322</f>
        <v>4536.1678000000002</v>
      </c>
      <c r="N10" s="170"/>
      <c r="O10" s="170">
        <f>F3.2!S322</f>
        <v>10736</v>
      </c>
      <c r="P10" s="170">
        <f>F3.2!T322</f>
        <v>9537</v>
      </c>
      <c r="Q10" s="170">
        <f>F3.2!U322</f>
        <v>8790</v>
      </c>
      <c r="R10" s="170">
        <f>F3.2!V322</f>
        <v>6065</v>
      </c>
      <c r="S10" s="170">
        <f>F3.2!W322</f>
        <v>2222</v>
      </c>
      <c r="T10" s="170"/>
    </row>
    <row r="11" spans="2:20" s="119" customFormat="1">
      <c r="B11" s="116"/>
      <c r="C11" s="117"/>
      <c r="D11" s="117"/>
      <c r="E11" s="117"/>
      <c r="F11" s="117"/>
      <c r="G11" s="118"/>
      <c r="H11" s="117"/>
      <c r="I11" s="117"/>
      <c r="J11" s="117"/>
      <c r="K11" s="170"/>
      <c r="L11" s="170"/>
      <c r="M11" s="170"/>
      <c r="N11" s="170"/>
      <c r="O11" s="170"/>
      <c r="P11" s="170"/>
      <c r="Q11" s="170"/>
      <c r="R11" s="170"/>
      <c r="S11" s="170"/>
      <c r="T11" s="170"/>
    </row>
    <row r="12" spans="2:20" s="119" customFormat="1">
      <c r="B12" s="116">
        <f>B10+1</f>
        <v>2</v>
      </c>
      <c r="C12" s="120" t="s">
        <v>249</v>
      </c>
      <c r="D12" s="120">
        <v>837.1</v>
      </c>
      <c r="E12" s="503">
        <f>54521284.99/10^5</f>
        <v>545.21284990000004</v>
      </c>
      <c r="F12" s="120"/>
      <c r="G12" s="121">
        <v>2952.8</v>
      </c>
      <c r="H12" s="507">
        <f>31829792.6/10^5</f>
        <v>318.29792600000002</v>
      </c>
      <c r="I12" s="121"/>
      <c r="J12" s="121">
        <v>2566.9</v>
      </c>
      <c r="K12" s="120"/>
      <c r="L12" s="120"/>
      <c r="M12" s="120">
        <f>F3.2!AJ322</f>
        <v>1623.94</v>
      </c>
      <c r="N12" s="121"/>
      <c r="O12" s="623">
        <f>F3.2!AK322</f>
        <v>7495</v>
      </c>
      <c r="P12" s="623">
        <f>F3.2!AL322</f>
        <v>12517</v>
      </c>
      <c r="Q12" s="623">
        <f>F3.2!AM322</f>
        <v>8060</v>
      </c>
      <c r="R12" s="623">
        <f>F3.2!AN322</f>
        <v>5315</v>
      </c>
      <c r="S12" s="623">
        <f>F3.2!AO322</f>
        <v>3822</v>
      </c>
      <c r="T12" s="120"/>
    </row>
    <row r="13" spans="2:20" s="119" customFormat="1">
      <c r="B13" s="116">
        <f t="shared" ref="B13:B14" si="0">B12+1</f>
        <v>3</v>
      </c>
      <c r="C13" s="120" t="s">
        <v>250</v>
      </c>
      <c r="D13" s="120"/>
      <c r="E13" s="120"/>
      <c r="F13" s="120"/>
      <c r="G13" s="121"/>
      <c r="H13" s="120"/>
      <c r="I13" s="121"/>
      <c r="J13" s="121"/>
      <c r="K13" s="120"/>
      <c r="L13" s="120"/>
      <c r="M13" s="120"/>
      <c r="N13" s="121"/>
      <c r="O13" s="120"/>
      <c r="P13" s="120"/>
      <c r="Q13" s="120"/>
      <c r="R13" s="120"/>
      <c r="S13" s="120"/>
      <c r="T13" s="120"/>
    </row>
    <row r="14" spans="2:20" s="119" customFormat="1">
      <c r="B14" s="116">
        <f t="shared" si="0"/>
        <v>4</v>
      </c>
      <c r="C14" s="120" t="s">
        <v>251</v>
      </c>
      <c r="D14" s="561">
        <f t="shared" ref="D14" si="1">D12+D13</f>
        <v>837.1</v>
      </c>
      <c r="E14" s="561">
        <f>E12+E13</f>
        <v>545.21284990000004</v>
      </c>
      <c r="F14" s="561">
        <f t="shared" ref="F14:M14" si="2">F12+F13</f>
        <v>0</v>
      </c>
      <c r="G14" s="561">
        <f t="shared" si="2"/>
        <v>2952.8</v>
      </c>
      <c r="H14" s="561">
        <f t="shared" si="2"/>
        <v>318.29792600000002</v>
      </c>
      <c r="I14" s="561">
        <f t="shared" si="2"/>
        <v>0</v>
      </c>
      <c r="J14" s="561">
        <f t="shared" si="2"/>
        <v>2566.9</v>
      </c>
      <c r="K14" s="561">
        <f t="shared" si="2"/>
        <v>0</v>
      </c>
      <c r="L14" s="561">
        <f t="shared" si="2"/>
        <v>0</v>
      </c>
      <c r="M14" s="561">
        <f t="shared" si="2"/>
        <v>1623.94</v>
      </c>
      <c r="N14" s="561">
        <f t="shared" ref="N14:S14" si="3">N12+N13</f>
        <v>0</v>
      </c>
      <c r="O14" s="561">
        <f t="shared" si="3"/>
        <v>7495</v>
      </c>
      <c r="P14" s="561">
        <f t="shared" si="3"/>
        <v>12517</v>
      </c>
      <c r="Q14" s="561">
        <f t="shared" si="3"/>
        <v>8060</v>
      </c>
      <c r="R14" s="561">
        <f t="shared" si="3"/>
        <v>5315</v>
      </c>
      <c r="S14" s="561">
        <f t="shared" si="3"/>
        <v>3822</v>
      </c>
      <c r="T14" s="120"/>
    </row>
    <row r="15" spans="2:20" s="122" customFormat="1">
      <c r="B15" s="123"/>
      <c r="C15" s="124"/>
      <c r="D15" s="124"/>
      <c r="E15" s="124"/>
      <c r="F15" s="124"/>
      <c r="G15" s="125"/>
      <c r="H15" s="126"/>
      <c r="I15" s="126"/>
      <c r="J15" s="126"/>
      <c r="K15" s="126"/>
      <c r="L15" s="126"/>
      <c r="M15" s="126"/>
      <c r="N15" s="126"/>
      <c r="O15" s="126"/>
    </row>
    <row r="16" spans="2:20">
      <c r="B16" s="127" t="s">
        <v>252</v>
      </c>
    </row>
    <row r="17" spans="2:8">
      <c r="B17" s="115"/>
      <c r="C17" s="112" t="s">
        <v>253</v>
      </c>
    </row>
    <row r="22" spans="2:8">
      <c r="E22" s="504">
        <v>-10770448.6</v>
      </c>
      <c r="H22" s="506">
        <v>-1815854.3599999999</v>
      </c>
    </row>
  </sheetData>
  <mergeCells count="7">
    <mergeCell ref="T7:T9"/>
    <mergeCell ref="B7:B9"/>
    <mergeCell ref="C7:C9"/>
    <mergeCell ref="G7:I7"/>
    <mergeCell ref="J7:N7"/>
    <mergeCell ref="O7:S7"/>
    <mergeCell ref="D7:F7"/>
  </mergeCells>
  <pageMargins left="0.47" right="0.25" top="1" bottom="1" header="0.25" footer="0.25"/>
  <pageSetup paperSize="9" scale="42" orientation="landscape" r:id="rId1"/>
  <headerFooter alignWithMargins="0">
    <oddHeader>&amp;F</oddHeader>
  </headerFooter>
</worksheet>
</file>

<file path=xl/worksheets/sheet13.xml><?xml version="1.0" encoding="utf-8"?>
<worksheet xmlns="http://schemas.openxmlformats.org/spreadsheetml/2006/main" xmlns:r="http://schemas.openxmlformats.org/officeDocument/2006/relationships">
  <dimension ref="A1:AV293"/>
  <sheetViews>
    <sheetView showGridLines="0" view="pageBreakPreview" topLeftCell="A26" zoomScale="83" zoomScaleNormal="70" zoomScaleSheetLayoutView="50" workbookViewId="0">
      <selection activeCell="F177" sqref="F177"/>
    </sheetView>
  </sheetViews>
  <sheetFormatPr defaultColWidth="9.28515625" defaultRowHeight="15"/>
  <cols>
    <col min="1" max="1" width="4.42578125" style="112" customWidth="1"/>
    <col min="2" max="2" width="42.28515625" style="112" customWidth="1"/>
    <col min="3" max="5" width="15.7109375" style="112" customWidth="1"/>
    <col min="6" max="6" width="20.28515625" style="112" customWidth="1"/>
    <col min="7" max="7" width="17.28515625" style="112" customWidth="1"/>
    <col min="8" max="8" width="14.28515625" style="112" customWidth="1"/>
    <col min="9" max="9" width="15.42578125" style="123" customWidth="1"/>
    <col min="10" max="13" width="15.42578125" style="112" customWidth="1"/>
    <col min="14" max="18" width="16.42578125" style="112" customWidth="1"/>
    <col min="19" max="19" width="17.28515625" style="112" customWidth="1"/>
    <col min="20" max="20" width="12.7109375" style="112" customWidth="1"/>
    <col min="21" max="21" width="14" style="112" customWidth="1"/>
    <col min="22" max="24" width="12.7109375" style="112" customWidth="1"/>
    <col min="25" max="25" width="15.28515625" style="112" customWidth="1"/>
    <col min="26" max="26" width="12.42578125" style="112" customWidth="1"/>
    <col min="27" max="28" width="13.42578125" style="112" customWidth="1"/>
    <col min="29" max="16384" width="9.28515625" style="112"/>
  </cols>
  <sheetData>
    <row r="1" spans="2:28" ht="15.75" customHeight="1"/>
    <row r="2" spans="2:28" ht="15" customHeight="1">
      <c r="C2" s="141"/>
      <c r="D2" s="141"/>
      <c r="E2" s="141"/>
      <c r="F2" s="141"/>
      <c r="G2" s="88" t="s">
        <v>0</v>
      </c>
      <c r="H2" s="141"/>
      <c r="I2" s="171"/>
      <c r="J2" s="141"/>
      <c r="K2" s="141"/>
      <c r="L2" s="142"/>
      <c r="M2" s="142"/>
      <c r="N2" s="142"/>
      <c r="O2" s="142"/>
      <c r="P2" s="142"/>
      <c r="Q2" s="142"/>
      <c r="R2" s="142"/>
      <c r="S2" s="142"/>
    </row>
    <row r="3" spans="2:28" ht="15" customHeight="1">
      <c r="C3" s="143"/>
      <c r="D3" s="143"/>
      <c r="E3" s="143"/>
      <c r="F3" s="143"/>
      <c r="G3" s="88" t="s">
        <v>1</v>
      </c>
      <c r="H3" s="143"/>
      <c r="I3" s="125"/>
      <c r="J3" s="143"/>
      <c r="K3" s="143"/>
      <c r="L3" s="144"/>
      <c r="M3" s="144"/>
      <c r="N3" s="144"/>
      <c r="O3" s="144"/>
      <c r="P3" s="144"/>
      <c r="Q3" s="144"/>
      <c r="R3" s="144"/>
      <c r="S3" s="144"/>
      <c r="T3" s="128"/>
      <c r="U3" s="128"/>
      <c r="V3" s="128"/>
      <c r="W3" s="128"/>
    </row>
    <row r="4" spans="2:28" ht="15" customHeight="1">
      <c r="C4" s="129"/>
      <c r="D4" s="129"/>
      <c r="E4" s="129"/>
      <c r="F4" s="129"/>
      <c r="G4" s="130" t="s">
        <v>254</v>
      </c>
      <c r="H4" s="129"/>
      <c r="I4" s="149"/>
      <c r="J4" s="129"/>
      <c r="K4" s="129"/>
      <c r="L4" s="131"/>
      <c r="M4" s="131"/>
      <c r="N4" s="131"/>
      <c r="O4" s="131"/>
      <c r="P4" s="131"/>
      <c r="Q4" s="131"/>
      <c r="R4" s="131"/>
      <c r="S4" s="131"/>
      <c r="T4" s="128"/>
      <c r="U4" s="128"/>
      <c r="V4" s="128"/>
      <c r="W4" s="128"/>
    </row>
    <row r="5" spans="2:28">
      <c r="B5" s="132"/>
      <c r="C5" s="133"/>
      <c r="D5" s="133"/>
      <c r="E5" s="133"/>
      <c r="F5" s="128"/>
      <c r="G5" s="128"/>
      <c r="H5" s="128"/>
      <c r="J5" s="128"/>
      <c r="K5" s="128"/>
      <c r="L5" s="128"/>
      <c r="M5" s="128"/>
      <c r="N5" s="128"/>
      <c r="O5" s="128"/>
      <c r="P5" s="128"/>
      <c r="Q5" s="128"/>
      <c r="R5" s="128"/>
      <c r="S5" s="128"/>
      <c r="T5" s="128"/>
      <c r="U5" s="128"/>
      <c r="V5" s="128"/>
      <c r="W5" s="128"/>
      <c r="X5" s="128"/>
      <c r="Y5" s="128"/>
      <c r="Z5" s="128"/>
      <c r="AA5" s="128"/>
      <c r="AB5" s="128"/>
    </row>
    <row r="6" spans="2:28" ht="15.75" customHeight="1">
      <c r="B6" s="133" t="s">
        <v>255</v>
      </c>
      <c r="F6" s="128"/>
      <c r="G6" s="128"/>
      <c r="H6" s="128"/>
      <c r="J6" s="128"/>
      <c r="K6" s="128"/>
      <c r="L6" s="128"/>
      <c r="M6" s="128"/>
      <c r="N6" s="128"/>
      <c r="O6" s="128"/>
      <c r="P6" s="128"/>
      <c r="Q6" s="128"/>
      <c r="R6" s="128"/>
      <c r="S6" s="128"/>
      <c r="T6" s="128"/>
      <c r="U6" s="128"/>
      <c r="V6" s="128"/>
      <c r="W6" s="128"/>
      <c r="X6" s="128"/>
      <c r="Y6" s="128"/>
      <c r="Z6" s="128"/>
      <c r="AA6" s="128"/>
      <c r="AB6" s="128"/>
    </row>
    <row r="7" spans="2:28">
      <c r="B7" s="132"/>
      <c r="C7" s="132"/>
      <c r="D7" s="132"/>
      <c r="E7" s="132"/>
      <c r="F7" s="128"/>
      <c r="G7" s="128"/>
      <c r="H7" s="128"/>
      <c r="J7" s="128"/>
      <c r="K7" s="128"/>
      <c r="L7" s="128"/>
      <c r="M7" s="128"/>
      <c r="S7" s="134" t="s">
        <v>56</v>
      </c>
      <c r="T7" s="134"/>
      <c r="U7" s="134"/>
      <c r="V7" s="134"/>
      <c r="W7" s="134"/>
      <c r="X7" s="134"/>
      <c r="Y7" s="128"/>
      <c r="Z7" s="128"/>
      <c r="AA7" s="128"/>
    </row>
    <row r="8" spans="2:28" s="119" customFormat="1" ht="14.1" customHeight="1">
      <c r="B8" s="1010" t="s">
        <v>256</v>
      </c>
      <c r="C8" s="1010" t="s">
        <v>257</v>
      </c>
      <c r="D8" s="1010" t="s">
        <v>258</v>
      </c>
      <c r="E8" s="1010" t="s">
        <v>259</v>
      </c>
      <c r="F8" s="1010" t="s">
        <v>260</v>
      </c>
      <c r="G8" s="1015" t="s">
        <v>261</v>
      </c>
      <c r="H8" s="1016"/>
      <c r="I8" s="1017"/>
      <c r="J8" s="1015" t="s">
        <v>262</v>
      </c>
      <c r="K8" s="1016"/>
      <c r="L8" s="1017"/>
      <c r="M8" s="1015" t="s">
        <v>263</v>
      </c>
      <c r="N8" s="1016"/>
      <c r="O8" s="1016"/>
      <c r="P8" s="1016"/>
      <c r="Q8" s="1016"/>
      <c r="R8" s="1016"/>
      <c r="S8" s="1017"/>
    </row>
    <row r="9" spans="2:28" s="119" customFormat="1">
      <c r="B9" s="1011"/>
      <c r="C9" s="1011"/>
      <c r="D9" s="1011"/>
      <c r="E9" s="1011"/>
      <c r="F9" s="1011"/>
      <c r="G9" s="1013" t="s">
        <v>264</v>
      </c>
      <c r="H9" s="1013" t="s">
        <v>265</v>
      </c>
      <c r="I9" s="1013" t="s">
        <v>266</v>
      </c>
      <c r="J9" s="1013" t="s">
        <v>264</v>
      </c>
      <c r="K9" s="1013" t="s">
        <v>265</v>
      </c>
      <c r="L9" s="1013" t="s">
        <v>267</v>
      </c>
      <c r="M9" s="1013" t="s">
        <v>268</v>
      </c>
      <c r="N9" s="1010" t="s">
        <v>269</v>
      </c>
      <c r="O9" s="1018" t="s">
        <v>270</v>
      </c>
      <c r="P9" s="1019"/>
      <c r="Q9" s="1019"/>
      <c r="R9" s="1019"/>
      <c r="S9" s="1020"/>
    </row>
    <row r="10" spans="2:28" s="119" customFormat="1" ht="43.5" thickBot="1">
      <c r="B10" s="1012"/>
      <c r="C10" s="1012"/>
      <c r="D10" s="1012"/>
      <c r="E10" s="1012"/>
      <c r="F10" s="1012"/>
      <c r="G10" s="1014"/>
      <c r="H10" s="1014"/>
      <c r="I10" s="1014"/>
      <c r="J10" s="1014"/>
      <c r="K10" s="1014"/>
      <c r="L10" s="1014"/>
      <c r="M10" s="1014"/>
      <c r="N10" s="1012"/>
      <c r="O10" s="269" t="s">
        <v>271</v>
      </c>
      <c r="P10" s="269" t="s">
        <v>272</v>
      </c>
      <c r="Q10" s="269" t="s">
        <v>273</v>
      </c>
      <c r="R10" s="269" t="s">
        <v>274</v>
      </c>
      <c r="S10" s="269" t="s">
        <v>275</v>
      </c>
    </row>
    <row r="11" spans="2:28">
      <c r="B11" s="666" t="s">
        <v>58</v>
      </c>
      <c r="C11" s="667"/>
      <c r="D11" s="668"/>
      <c r="E11" s="668"/>
      <c r="F11" s="668"/>
      <c r="G11" s="668"/>
      <c r="H11" s="668"/>
      <c r="I11" s="669"/>
      <c r="J11" s="668"/>
      <c r="K11" s="668"/>
      <c r="L11" s="668"/>
      <c r="M11" s="668"/>
      <c r="N11" s="668"/>
      <c r="O11" s="668"/>
      <c r="P11" s="668"/>
      <c r="Q11" s="668"/>
      <c r="R11" s="668"/>
      <c r="S11" s="670"/>
    </row>
    <row r="12" spans="2:28">
      <c r="B12" s="671" t="s">
        <v>276</v>
      </c>
      <c r="C12" s="672"/>
      <c r="D12" s="673"/>
      <c r="E12" s="673"/>
      <c r="F12" s="673"/>
      <c r="G12" s="673"/>
      <c r="H12" s="673"/>
      <c r="I12" s="674"/>
      <c r="J12" s="673"/>
      <c r="K12" s="673"/>
      <c r="L12" s="673"/>
      <c r="M12" s="673"/>
      <c r="N12" s="673"/>
      <c r="O12" s="673"/>
      <c r="P12" s="673"/>
      <c r="Q12" s="673"/>
      <c r="R12" s="673"/>
      <c r="S12" s="675"/>
    </row>
    <row r="13" spans="2:28" ht="45">
      <c r="B13" s="676" t="s">
        <v>277</v>
      </c>
      <c r="C13" s="677" t="s">
        <v>1564</v>
      </c>
      <c r="D13" s="678" t="s">
        <v>1565</v>
      </c>
      <c r="E13" s="678" t="s">
        <v>1566</v>
      </c>
      <c r="F13" s="678" t="s">
        <v>1567</v>
      </c>
      <c r="G13" s="679" t="s">
        <v>1568</v>
      </c>
      <c r="H13" s="679"/>
      <c r="I13" s="679" t="s">
        <v>1569</v>
      </c>
      <c r="J13" s="680"/>
      <c r="K13" s="680"/>
      <c r="L13" s="681" t="s">
        <v>1570</v>
      </c>
      <c r="M13" s="680"/>
      <c r="N13" s="682">
        <v>24.78</v>
      </c>
      <c r="O13" s="683"/>
      <c r="P13" s="683"/>
      <c r="Q13" s="683"/>
      <c r="R13" s="683"/>
      <c r="S13" s="684"/>
    </row>
    <row r="14" spans="2:28" ht="60">
      <c r="B14" s="685" t="s">
        <v>278</v>
      </c>
      <c r="C14" s="686" t="s">
        <v>1202</v>
      </c>
      <c r="D14" s="678" t="s">
        <v>1203</v>
      </c>
      <c r="E14" s="687" t="s">
        <v>1571</v>
      </c>
      <c r="F14" s="683"/>
      <c r="G14" s="679" t="s">
        <v>1572</v>
      </c>
      <c r="H14" s="688"/>
      <c r="I14" s="679" t="s">
        <v>1572</v>
      </c>
      <c r="J14" s="678" t="s">
        <v>1573</v>
      </c>
      <c r="K14" s="678" t="s">
        <v>1574</v>
      </c>
      <c r="L14" s="683"/>
      <c r="M14" s="679" t="s">
        <v>1575</v>
      </c>
      <c r="N14" s="689">
        <v>159.41</v>
      </c>
      <c r="O14" s="683"/>
      <c r="P14" s="683"/>
      <c r="Q14" s="683"/>
      <c r="R14" s="683"/>
      <c r="S14" s="684"/>
    </row>
    <row r="15" spans="2:28" ht="120">
      <c r="B15" s="685" t="s">
        <v>278</v>
      </c>
      <c r="C15" s="686" t="s">
        <v>1576</v>
      </c>
      <c r="D15" s="678" t="s">
        <v>1577</v>
      </c>
      <c r="E15" s="678" t="s">
        <v>1566</v>
      </c>
      <c r="F15" s="678" t="s">
        <v>1567</v>
      </c>
      <c r="G15" s="680" t="s">
        <v>1578</v>
      </c>
      <c r="H15" s="680"/>
      <c r="I15" s="680" t="s">
        <v>1578</v>
      </c>
      <c r="J15" s="680"/>
      <c r="K15" s="680"/>
      <c r="L15" s="690" t="s">
        <v>1579</v>
      </c>
      <c r="M15" s="680"/>
      <c r="N15" s="682">
        <v>46.02</v>
      </c>
      <c r="O15" s="683"/>
      <c r="P15" s="683"/>
      <c r="Q15" s="683"/>
      <c r="R15" s="683"/>
      <c r="S15" s="684"/>
    </row>
    <row r="16" spans="2:28" ht="90">
      <c r="B16" s="685"/>
      <c r="C16" s="686" t="s">
        <v>1580</v>
      </c>
      <c r="D16" s="688">
        <v>538</v>
      </c>
      <c r="E16" s="691">
        <v>43686</v>
      </c>
      <c r="F16" s="690" t="s">
        <v>1581</v>
      </c>
      <c r="G16" s="692">
        <v>43708</v>
      </c>
      <c r="H16" s="693"/>
      <c r="I16" s="692">
        <v>43708</v>
      </c>
      <c r="J16" s="692">
        <v>43921</v>
      </c>
      <c r="K16" s="692">
        <v>44193</v>
      </c>
      <c r="L16" s="692">
        <v>44480</v>
      </c>
      <c r="M16" s="693">
        <v>838</v>
      </c>
      <c r="N16" s="693"/>
      <c r="O16" s="683"/>
      <c r="P16" s="683"/>
      <c r="Q16" s="683"/>
      <c r="R16" s="683"/>
      <c r="S16" s="684"/>
    </row>
    <row r="17" spans="2:19">
      <c r="B17" s="676" t="s">
        <v>279</v>
      </c>
      <c r="C17" s="672"/>
      <c r="D17" s="673"/>
      <c r="E17" s="673"/>
      <c r="F17" s="673"/>
      <c r="G17" s="694"/>
      <c r="H17" s="694"/>
      <c r="I17" s="674"/>
      <c r="J17" s="694"/>
      <c r="K17" s="694"/>
      <c r="L17" s="673"/>
      <c r="M17" s="673"/>
      <c r="N17" s="694"/>
      <c r="O17" s="673"/>
      <c r="P17" s="673"/>
      <c r="Q17" s="673"/>
      <c r="R17" s="673"/>
      <c r="S17" s="675"/>
    </row>
    <row r="18" spans="2:19">
      <c r="B18" s="685" t="s">
        <v>278</v>
      </c>
      <c r="C18" s="672"/>
      <c r="D18" s="673"/>
      <c r="E18" s="673"/>
      <c r="F18" s="673"/>
      <c r="G18" s="694"/>
      <c r="H18" s="694"/>
      <c r="I18" s="674"/>
      <c r="J18" s="694"/>
      <c r="K18" s="694"/>
      <c r="L18" s="673"/>
      <c r="M18" s="673"/>
      <c r="N18" s="694"/>
      <c r="O18" s="673"/>
      <c r="P18" s="673"/>
      <c r="Q18" s="673"/>
      <c r="R18" s="673"/>
      <c r="S18" s="675"/>
    </row>
    <row r="19" spans="2:19" ht="15.75" thickBot="1">
      <c r="B19" s="695" t="s">
        <v>278</v>
      </c>
      <c r="C19" s="696"/>
      <c r="D19" s="697"/>
      <c r="E19" s="697"/>
      <c r="F19" s="697"/>
      <c r="G19" s="698"/>
      <c r="H19" s="698"/>
      <c r="I19" s="699"/>
      <c r="J19" s="698"/>
      <c r="K19" s="698"/>
      <c r="L19" s="697"/>
      <c r="M19" s="697"/>
      <c r="N19" s="698"/>
      <c r="O19" s="697"/>
      <c r="P19" s="697"/>
      <c r="Q19" s="697"/>
      <c r="R19" s="697"/>
      <c r="S19" s="700"/>
    </row>
    <row r="20" spans="2:19">
      <c r="B20" s="666" t="s">
        <v>280</v>
      </c>
      <c r="C20" s="701"/>
      <c r="D20" s="668"/>
      <c r="E20" s="668"/>
      <c r="F20" s="668"/>
      <c r="G20" s="702"/>
      <c r="H20" s="702"/>
      <c r="I20" s="669"/>
      <c r="J20" s="702"/>
      <c r="K20" s="702"/>
      <c r="L20" s="668"/>
      <c r="M20" s="668"/>
      <c r="N20" s="702"/>
      <c r="O20" s="668"/>
      <c r="P20" s="668"/>
      <c r="Q20" s="668"/>
      <c r="R20" s="668"/>
      <c r="S20" s="703"/>
    </row>
    <row r="21" spans="2:19" ht="60">
      <c r="B21" s="704"/>
      <c r="C21" s="705" t="s">
        <v>1582</v>
      </c>
      <c r="D21" s="706" t="s">
        <v>1583</v>
      </c>
      <c r="E21" s="707">
        <v>45016</v>
      </c>
      <c r="F21" s="673"/>
      <c r="G21" s="694"/>
      <c r="H21" s="694"/>
      <c r="I21" s="674"/>
      <c r="J21" s="694"/>
      <c r="K21" s="694"/>
      <c r="L21" s="673"/>
      <c r="M21" s="673"/>
      <c r="N21" s="708">
        <v>0.73</v>
      </c>
      <c r="O21" s="673"/>
      <c r="P21" s="673"/>
      <c r="Q21" s="673"/>
      <c r="R21" s="673"/>
      <c r="S21" s="675"/>
    </row>
    <row r="22" spans="2:19" s="709" customFormat="1" ht="105">
      <c r="B22" s="710"/>
      <c r="C22" s="711" t="s">
        <v>1584</v>
      </c>
      <c r="D22" s="712" t="s">
        <v>1583</v>
      </c>
      <c r="E22" s="713">
        <v>45016</v>
      </c>
      <c r="F22" s="714"/>
      <c r="G22" s="715"/>
      <c r="H22" s="715"/>
      <c r="I22" s="715"/>
      <c r="J22" s="715"/>
      <c r="K22" s="715"/>
      <c r="L22" s="715"/>
      <c r="M22" s="714"/>
      <c r="N22" s="716"/>
      <c r="O22" s="714"/>
      <c r="P22" s="714"/>
      <c r="Q22" s="714"/>
      <c r="R22" s="714"/>
      <c r="S22" s="717"/>
    </row>
    <row r="23" spans="2:19" ht="45">
      <c r="B23" s="704"/>
      <c r="C23" s="686" t="s">
        <v>1206</v>
      </c>
      <c r="D23" s="718" t="s">
        <v>1583</v>
      </c>
      <c r="E23" s="719">
        <v>45016</v>
      </c>
      <c r="F23" s="683"/>
      <c r="G23" s="688" t="s">
        <v>1585</v>
      </c>
      <c r="H23" s="688"/>
      <c r="I23" s="688" t="s">
        <v>1585</v>
      </c>
      <c r="J23" s="688" t="s">
        <v>1586</v>
      </c>
      <c r="K23" s="688"/>
      <c r="L23" s="688" t="s">
        <v>1586</v>
      </c>
      <c r="M23" s="683"/>
      <c r="N23" s="708">
        <v>38.18</v>
      </c>
      <c r="O23" s="683"/>
      <c r="P23" s="683"/>
      <c r="Q23" s="683"/>
      <c r="R23" s="683"/>
      <c r="S23" s="684"/>
    </row>
    <row r="24" spans="2:19" ht="30">
      <c r="B24" s="704"/>
      <c r="C24" s="705" t="s">
        <v>1587</v>
      </c>
      <c r="D24" s="706" t="s">
        <v>1583</v>
      </c>
      <c r="E24" s="707">
        <v>45016</v>
      </c>
      <c r="F24" s="673"/>
      <c r="G24" s="694"/>
      <c r="H24" s="694"/>
      <c r="I24" s="694"/>
      <c r="J24" s="694"/>
      <c r="K24" s="694"/>
      <c r="L24" s="694"/>
      <c r="M24" s="673"/>
      <c r="N24" s="720"/>
      <c r="O24" s="673"/>
      <c r="P24" s="673"/>
      <c r="Q24" s="673"/>
      <c r="R24" s="673"/>
      <c r="S24" s="675"/>
    </row>
    <row r="25" spans="2:19" ht="45">
      <c r="B25" s="704"/>
      <c r="C25" s="686" t="s">
        <v>1588</v>
      </c>
      <c r="D25" s="718" t="s">
        <v>1583</v>
      </c>
      <c r="E25" s="719">
        <v>45016</v>
      </c>
      <c r="F25" s="683"/>
      <c r="G25" s="688" t="s">
        <v>1589</v>
      </c>
      <c r="H25" s="688"/>
      <c r="I25" s="688" t="s">
        <v>1589</v>
      </c>
      <c r="J25" s="688" t="s">
        <v>1590</v>
      </c>
      <c r="K25" s="688"/>
      <c r="L25" s="688" t="s">
        <v>1590</v>
      </c>
      <c r="M25" s="683"/>
      <c r="N25" s="721">
        <v>6.3</v>
      </c>
      <c r="O25" s="683"/>
      <c r="P25" s="683"/>
      <c r="Q25" s="683"/>
      <c r="R25" s="683"/>
      <c r="S25" s="684"/>
    </row>
    <row r="26" spans="2:19" ht="45">
      <c r="B26" s="704"/>
      <c r="C26" s="705" t="s">
        <v>1591</v>
      </c>
      <c r="D26" s="706" t="s">
        <v>1583</v>
      </c>
      <c r="E26" s="707">
        <v>45016</v>
      </c>
      <c r="F26" s="673"/>
      <c r="G26" s="694"/>
      <c r="H26" s="694"/>
      <c r="I26" s="694"/>
      <c r="J26" s="694"/>
      <c r="K26" s="694"/>
      <c r="L26" s="694"/>
      <c r="M26" s="673"/>
      <c r="N26" s="694"/>
      <c r="O26" s="673"/>
      <c r="P26" s="673"/>
      <c r="Q26" s="673"/>
      <c r="R26" s="673"/>
      <c r="S26" s="675"/>
    </row>
    <row r="27" spans="2:19" ht="45">
      <c r="B27" s="704"/>
      <c r="C27" s="711" t="s">
        <v>1592</v>
      </c>
      <c r="D27" s="718" t="s">
        <v>1583</v>
      </c>
      <c r="E27" s="719">
        <v>45016</v>
      </c>
      <c r="F27" s="680" t="s">
        <v>1593</v>
      </c>
      <c r="G27" s="688"/>
      <c r="H27" s="688"/>
      <c r="I27" s="688"/>
      <c r="J27" s="688" t="s">
        <v>1594</v>
      </c>
      <c r="K27" s="688"/>
      <c r="L27" s="688" t="s">
        <v>1594</v>
      </c>
      <c r="M27" s="688">
        <v>36.17</v>
      </c>
      <c r="N27" s="722">
        <v>5.93</v>
      </c>
      <c r="O27" s="683"/>
      <c r="P27" s="683"/>
      <c r="Q27" s="683"/>
      <c r="R27" s="683"/>
      <c r="S27" s="684"/>
    </row>
    <row r="28" spans="2:19" ht="45">
      <c r="B28" s="704"/>
      <c r="C28" s="686" t="s">
        <v>1595</v>
      </c>
      <c r="D28" s="718" t="s">
        <v>1583</v>
      </c>
      <c r="E28" s="719">
        <v>45016</v>
      </c>
      <c r="F28" s="690" t="s">
        <v>1596</v>
      </c>
      <c r="G28" s="688" t="s">
        <v>1597</v>
      </c>
      <c r="H28" s="688"/>
      <c r="I28" s="688" t="s">
        <v>1598</v>
      </c>
      <c r="J28" s="688" t="s">
        <v>1599</v>
      </c>
      <c r="K28" s="688"/>
      <c r="L28" s="688" t="s">
        <v>1599</v>
      </c>
      <c r="M28" s="723">
        <v>99.5</v>
      </c>
      <c r="N28" s="721">
        <v>99.2</v>
      </c>
      <c r="O28" s="683"/>
      <c r="P28" s="683"/>
      <c r="Q28" s="683"/>
      <c r="R28" s="683"/>
      <c r="S28" s="684"/>
    </row>
    <row r="29" spans="2:19" s="709" customFormat="1" ht="75">
      <c r="B29" s="710"/>
      <c r="C29" s="711" t="s">
        <v>1600</v>
      </c>
      <c r="D29" s="712" t="s">
        <v>1583</v>
      </c>
      <c r="E29" s="713">
        <v>45016</v>
      </c>
      <c r="F29" s="724" t="s">
        <v>1601</v>
      </c>
      <c r="G29" s="715" t="s">
        <v>1602</v>
      </c>
      <c r="H29" s="715"/>
      <c r="I29" s="715" t="s">
        <v>1602</v>
      </c>
      <c r="J29" s="715" t="s">
        <v>1603</v>
      </c>
      <c r="K29" s="715"/>
      <c r="L29" s="715" t="s">
        <v>1603</v>
      </c>
      <c r="M29" s="715">
        <v>36.17</v>
      </c>
      <c r="N29" s="716"/>
      <c r="O29" s="714"/>
      <c r="P29" s="714"/>
      <c r="Q29" s="714"/>
      <c r="R29" s="714"/>
      <c r="S29" s="717"/>
    </row>
    <row r="30" spans="2:19" ht="60">
      <c r="B30" s="704"/>
      <c r="C30" s="686" t="s">
        <v>1604</v>
      </c>
      <c r="D30" s="718" t="s">
        <v>1583</v>
      </c>
      <c r="E30" s="719">
        <v>45016</v>
      </c>
      <c r="F30" s="690" t="s">
        <v>1605</v>
      </c>
      <c r="G30" s="688" t="s">
        <v>1606</v>
      </c>
      <c r="H30" s="688"/>
      <c r="I30" s="688" t="s">
        <v>1606</v>
      </c>
      <c r="J30" s="688" t="s">
        <v>1607</v>
      </c>
      <c r="K30" s="688"/>
      <c r="L30" s="688" t="s">
        <v>1607</v>
      </c>
      <c r="M30" s="683">
        <v>12.06</v>
      </c>
      <c r="N30" s="689">
        <v>12.01</v>
      </c>
      <c r="O30" s="683"/>
      <c r="P30" s="683"/>
      <c r="Q30" s="683"/>
      <c r="R30" s="683"/>
      <c r="S30" s="684"/>
    </row>
    <row r="31" spans="2:19" s="709" customFormat="1" ht="60">
      <c r="B31" s="710"/>
      <c r="C31" s="711" t="s">
        <v>1608</v>
      </c>
      <c r="D31" s="712" t="s">
        <v>1583</v>
      </c>
      <c r="E31" s="713">
        <v>45016</v>
      </c>
      <c r="F31" s="725" t="s">
        <v>1609</v>
      </c>
      <c r="G31" s="716" t="s">
        <v>1610</v>
      </c>
      <c r="H31" s="715"/>
      <c r="I31" s="716" t="s">
        <v>1610</v>
      </c>
      <c r="J31" s="716" t="s">
        <v>1611</v>
      </c>
      <c r="K31" s="716"/>
      <c r="L31" s="716" t="s">
        <v>1611</v>
      </c>
      <c r="M31" s="716"/>
      <c r="N31" s="716"/>
      <c r="O31" s="714"/>
      <c r="P31" s="714"/>
      <c r="Q31" s="714"/>
      <c r="R31" s="714"/>
      <c r="S31" s="717"/>
    </row>
    <row r="32" spans="2:19" ht="30">
      <c r="B32" s="704"/>
      <c r="C32" s="686" t="s">
        <v>1612</v>
      </c>
      <c r="D32" s="718" t="s">
        <v>1583</v>
      </c>
      <c r="E32" s="719">
        <v>45016</v>
      </c>
      <c r="F32" s="683"/>
      <c r="G32" s="688" t="s">
        <v>1613</v>
      </c>
      <c r="H32" s="688"/>
      <c r="I32" s="688" t="s">
        <v>1613</v>
      </c>
      <c r="J32" s="688" t="s">
        <v>1614</v>
      </c>
      <c r="K32" s="688"/>
      <c r="L32" s="693" t="s">
        <v>1614</v>
      </c>
      <c r="M32" s="683"/>
      <c r="N32" s="689">
        <v>22.35</v>
      </c>
      <c r="O32" s="683"/>
      <c r="P32" s="683"/>
      <c r="Q32" s="683"/>
      <c r="R32" s="683"/>
      <c r="S32" s="684"/>
    </row>
    <row r="33" spans="1:48" s="709" customFormat="1" ht="105">
      <c r="B33" s="710"/>
      <c r="C33" s="726" t="s">
        <v>1615</v>
      </c>
      <c r="D33" s="727" t="s">
        <v>1583</v>
      </c>
      <c r="E33" s="728">
        <v>45016</v>
      </c>
      <c r="F33" s="729" t="s">
        <v>1616</v>
      </c>
      <c r="G33" s="730">
        <v>44713</v>
      </c>
      <c r="H33" s="730"/>
      <c r="I33" s="730"/>
      <c r="J33" s="730">
        <v>44774</v>
      </c>
      <c r="K33" s="730"/>
      <c r="L33" s="730">
        <v>44774</v>
      </c>
      <c r="M33" s="731">
        <v>49.45</v>
      </c>
      <c r="N33" s="732">
        <v>49.45</v>
      </c>
      <c r="O33" s="713"/>
      <c r="P33" s="713"/>
      <c r="Q33" s="713"/>
      <c r="R33" s="713"/>
      <c r="S33" s="733"/>
    </row>
    <row r="34" spans="1:48" ht="180">
      <c r="B34" s="704"/>
      <c r="C34" s="686" t="s">
        <v>1617</v>
      </c>
      <c r="D34" s="718" t="s">
        <v>1583</v>
      </c>
      <c r="E34" s="719">
        <v>45016</v>
      </c>
      <c r="F34" s="678" t="s">
        <v>1618</v>
      </c>
      <c r="G34" s="734">
        <v>44927</v>
      </c>
      <c r="H34" s="693"/>
      <c r="I34" s="693"/>
      <c r="J34" s="734">
        <v>45108</v>
      </c>
      <c r="K34" s="693"/>
      <c r="L34" s="734">
        <v>45505</v>
      </c>
      <c r="M34" s="693">
        <v>70.8</v>
      </c>
      <c r="N34" s="693">
        <v>0</v>
      </c>
      <c r="O34" s="683"/>
      <c r="P34" s="683"/>
      <c r="Q34" s="683"/>
      <c r="R34" s="683"/>
      <c r="S34" s="684"/>
    </row>
    <row r="35" spans="1:48" ht="26.25">
      <c r="B35" s="704"/>
      <c r="C35" s="705" t="s">
        <v>1619</v>
      </c>
      <c r="D35" s="706" t="s">
        <v>1583</v>
      </c>
      <c r="E35" s="707">
        <v>45016</v>
      </c>
      <c r="F35" s="673"/>
      <c r="G35" s="694"/>
      <c r="H35" s="694"/>
      <c r="I35" s="674"/>
      <c r="J35" s="694"/>
      <c r="K35" s="694"/>
      <c r="L35" s="694"/>
      <c r="M35" s="694"/>
      <c r="N35" s="694"/>
      <c r="O35" s="673"/>
      <c r="P35" s="673"/>
      <c r="Q35" s="673"/>
      <c r="R35" s="673"/>
      <c r="S35" s="675"/>
    </row>
    <row r="36" spans="1:48" ht="75">
      <c r="B36" s="704"/>
      <c r="C36" s="705" t="s">
        <v>1620</v>
      </c>
      <c r="D36" s="706" t="s">
        <v>1583</v>
      </c>
      <c r="E36" s="707">
        <v>45016</v>
      </c>
      <c r="F36" s="673"/>
      <c r="G36" s="694"/>
      <c r="H36" s="694"/>
      <c r="I36" s="674"/>
      <c r="J36" s="694"/>
      <c r="K36" s="694"/>
      <c r="L36" s="694"/>
      <c r="M36" s="694"/>
      <c r="N36" s="694"/>
      <c r="O36" s="673"/>
      <c r="P36" s="673"/>
      <c r="Q36" s="673"/>
      <c r="R36" s="673"/>
      <c r="S36" s="675"/>
    </row>
    <row r="37" spans="1:48" s="270" customFormat="1" ht="30">
      <c r="A37" s="112"/>
      <c r="B37" s="704"/>
      <c r="C37" s="686" t="s">
        <v>1621</v>
      </c>
      <c r="D37" s="718" t="s">
        <v>1583</v>
      </c>
      <c r="E37" s="719"/>
      <c r="F37" s="683"/>
      <c r="G37" s="688"/>
      <c r="H37" s="688"/>
      <c r="I37" s="693"/>
      <c r="J37" s="688"/>
      <c r="K37" s="688"/>
      <c r="L37" s="688"/>
      <c r="M37" s="688"/>
      <c r="N37" s="688"/>
      <c r="O37" s="683"/>
      <c r="P37" s="683"/>
      <c r="Q37" s="683"/>
      <c r="R37" s="683"/>
      <c r="S37" s="684"/>
    </row>
    <row r="38" spans="1:48" ht="90">
      <c r="B38" s="704"/>
      <c r="C38" s="686" t="s">
        <v>1622</v>
      </c>
      <c r="D38" s="718" t="s">
        <v>1583</v>
      </c>
      <c r="E38" s="719">
        <v>45016</v>
      </c>
      <c r="F38" s="681" t="s">
        <v>1567</v>
      </c>
      <c r="G38" s="679" t="s">
        <v>1623</v>
      </c>
      <c r="H38" s="679"/>
      <c r="I38" s="679"/>
      <c r="J38" s="679"/>
      <c r="K38" s="679"/>
      <c r="L38" s="679" t="s">
        <v>1624</v>
      </c>
      <c r="M38" s="679">
        <v>95.58</v>
      </c>
      <c r="N38" s="679"/>
      <c r="O38" s="683"/>
      <c r="P38" s="683"/>
      <c r="Q38" s="683"/>
      <c r="R38" s="683"/>
      <c r="S38" s="684"/>
    </row>
    <row r="39" spans="1:48" ht="26.25">
      <c r="B39" s="704"/>
      <c r="C39" s="735" t="s">
        <v>1207</v>
      </c>
      <c r="D39" s="718" t="s">
        <v>1583</v>
      </c>
      <c r="E39" s="719">
        <v>45016</v>
      </c>
      <c r="F39" s="683" t="s">
        <v>1625</v>
      </c>
      <c r="G39" s="688"/>
      <c r="H39" s="688"/>
      <c r="I39" s="693"/>
      <c r="J39" s="688"/>
      <c r="K39" s="688"/>
      <c r="L39" s="688"/>
      <c r="M39" s="688"/>
      <c r="N39" s="688"/>
      <c r="O39" s="683"/>
      <c r="P39" s="683"/>
      <c r="Q39" s="683"/>
      <c r="R39" s="683"/>
      <c r="S39" s="684"/>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row>
    <row r="40" spans="1:48" ht="51">
      <c r="B40" s="704"/>
      <c r="C40" s="736" t="s">
        <v>1626</v>
      </c>
      <c r="D40" s="706" t="s">
        <v>1583</v>
      </c>
      <c r="E40" s="707">
        <v>45016</v>
      </c>
      <c r="F40" s="673"/>
      <c r="G40" s="694"/>
      <c r="H40" s="694"/>
      <c r="I40" s="674"/>
      <c r="J40" s="694"/>
      <c r="K40" s="694"/>
      <c r="L40" s="694"/>
      <c r="M40" s="694"/>
      <c r="N40" s="694"/>
      <c r="O40" s="673"/>
      <c r="P40" s="673"/>
      <c r="Q40" s="673"/>
      <c r="R40" s="673"/>
      <c r="S40" s="675"/>
    </row>
    <row r="41" spans="1:48" s="270" customFormat="1" ht="51">
      <c r="A41" s="112"/>
      <c r="B41" s="704"/>
      <c r="C41" s="736" t="s">
        <v>1627</v>
      </c>
      <c r="D41" s="737" t="s">
        <v>1583</v>
      </c>
      <c r="E41" s="738">
        <v>45016</v>
      </c>
      <c r="F41" s="736" t="s">
        <v>1627</v>
      </c>
      <c r="G41" s="739"/>
      <c r="H41" s="739"/>
      <c r="I41" s="740"/>
      <c r="J41" s="741"/>
      <c r="K41" s="739"/>
      <c r="L41" s="739"/>
      <c r="M41" s="739"/>
      <c r="N41" s="739"/>
      <c r="O41" s="742"/>
      <c r="P41" s="742"/>
      <c r="Q41" s="742"/>
      <c r="R41" s="742"/>
      <c r="S41" s="743"/>
    </row>
    <row r="42" spans="1:48" ht="38.25">
      <c r="B42" s="704"/>
      <c r="C42" s="735" t="s">
        <v>1628</v>
      </c>
      <c r="D42" s="718" t="s">
        <v>1583</v>
      </c>
      <c r="E42" s="719">
        <v>45016</v>
      </c>
      <c r="F42" s="681" t="s">
        <v>1567</v>
      </c>
      <c r="G42" s="679" t="s">
        <v>1629</v>
      </c>
      <c r="H42" s="679"/>
      <c r="I42" s="679" t="s">
        <v>1629</v>
      </c>
      <c r="J42" s="679"/>
      <c r="K42" s="679"/>
      <c r="L42" s="679"/>
      <c r="M42" s="679" t="s">
        <v>1630</v>
      </c>
      <c r="N42" s="679"/>
      <c r="O42" s="679"/>
      <c r="P42" s="679"/>
      <c r="Q42" s="683"/>
      <c r="R42" s="683"/>
      <c r="S42" s="684"/>
    </row>
    <row r="43" spans="1:48" ht="38.25">
      <c r="B43" s="704"/>
      <c r="C43" s="736" t="s">
        <v>1631</v>
      </c>
      <c r="D43" s="706" t="s">
        <v>1583</v>
      </c>
      <c r="E43" s="707">
        <v>45016</v>
      </c>
      <c r="F43" s="673"/>
      <c r="G43" s="694"/>
      <c r="H43" s="694"/>
      <c r="I43" s="674"/>
      <c r="J43" s="694"/>
      <c r="K43" s="694"/>
      <c r="L43" s="694"/>
      <c r="M43" s="694"/>
      <c r="N43" s="694"/>
      <c r="O43" s="673"/>
      <c r="P43" s="673"/>
      <c r="Q43" s="673"/>
      <c r="R43" s="673"/>
      <c r="S43" s="675"/>
    </row>
    <row r="44" spans="1:48" ht="38.25">
      <c r="B44" s="704"/>
      <c r="C44" s="736" t="s">
        <v>1632</v>
      </c>
      <c r="D44" s="706" t="s">
        <v>1583</v>
      </c>
      <c r="E44" s="707">
        <v>45016</v>
      </c>
      <c r="F44" s="673"/>
      <c r="G44" s="694"/>
      <c r="H44" s="694"/>
      <c r="I44" s="674"/>
      <c r="J44" s="694"/>
      <c r="K44" s="694"/>
      <c r="L44" s="694"/>
      <c r="M44" s="694"/>
      <c r="N44" s="694"/>
      <c r="O44" s="673"/>
      <c r="P44" s="673"/>
      <c r="Q44" s="673"/>
      <c r="R44" s="673"/>
      <c r="S44" s="675"/>
    </row>
    <row r="45" spans="1:48" ht="26.25">
      <c r="B45" s="685" t="s">
        <v>278</v>
      </c>
      <c r="C45" s="736" t="s">
        <v>1633</v>
      </c>
      <c r="D45" s="706" t="s">
        <v>1583</v>
      </c>
      <c r="E45" s="707">
        <v>45016</v>
      </c>
      <c r="F45" s="673"/>
      <c r="G45" s="694"/>
      <c r="H45" s="694"/>
      <c r="I45" s="674"/>
      <c r="J45" s="694"/>
      <c r="K45" s="694"/>
      <c r="L45" s="694"/>
      <c r="M45" s="694"/>
      <c r="N45" s="694"/>
      <c r="O45" s="673"/>
      <c r="P45" s="673"/>
      <c r="Q45" s="673"/>
      <c r="R45" s="673"/>
      <c r="S45" s="675"/>
    </row>
    <row r="46" spans="1:48" ht="26.25">
      <c r="B46" s="695"/>
      <c r="C46" s="736" t="s">
        <v>1634</v>
      </c>
      <c r="D46" s="706" t="s">
        <v>1583</v>
      </c>
      <c r="E46" s="707">
        <v>45016</v>
      </c>
      <c r="F46" s="697"/>
      <c r="G46" s="698"/>
      <c r="H46" s="698"/>
      <c r="I46" s="699"/>
      <c r="J46" s="698"/>
      <c r="K46" s="698"/>
      <c r="L46" s="698"/>
      <c r="M46" s="698"/>
      <c r="N46" s="698"/>
      <c r="O46" s="697"/>
      <c r="P46" s="697"/>
      <c r="Q46" s="697"/>
      <c r="R46" s="697"/>
      <c r="S46" s="700"/>
    </row>
    <row r="47" spans="1:48" ht="38.25">
      <c r="B47" s="695"/>
      <c r="C47" s="744" t="s">
        <v>1635</v>
      </c>
      <c r="D47" s="745"/>
      <c r="E47" s="746"/>
      <c r="F47" s="697"/>
      <c r="G47" s="698"/>
      <c r="H47" s="698"/>
      <c r="I47" s="699"/>
      <c r="J47" s="698"/>
      <c r="K47" s="698"/>
      <c r="L47" s="698"/>
      <c r="M47" s="698"/>
      <c r="N47" s="747">
        <v>7.05</v>
      </c>
      <c r="O47" s="697"/>
      <c r="P47" s="697"/>
      <c r="Q47" s="697"/>
      <c r="R47" s="697"/>
      <c r="S47" s="700"/>
    </row>
    <row r="48" spans="1:48" ht="43.5" thickBot="1">
      <c r="B48" s="748" t="s">
        <v>278</v>
      </c>
      <c r="C48" s="749" t="s">
        <v>1636</v>
      </c>
      <c r="D48" s="750"/>
      <c r="E48" s="750"/>
      <c r="F48" s="750"/>
      <c r="G48" s="751"/>
      <c r="H48" s="751"/>
      <c r="I48" s="752"/>
      <c r="J48" s="751"/>
      <c r="K48" s="751"/>
      <c r="L48" s="751"/>
      <c r="M48" s="751"/>
      <c r="N48" s="753">
        <v>15.56</v>
      </c>
      <c r="O48" s="750"/>
      <c r="P48" s="750"/>
      <c r="Q48" s="750"/>
      <c r="R48" s="750"/>
      <c r="S48" s="754"/>
    </row>
    <row r="49" spans="2:43" ht="45">
      <c r="B49" s="755"/>
      <c r="C49" s="756" t="s">
        <v>1637</v>
      </c>
      <c r="D49" s="757"/>
      <c r="E49" s="757"/>
      <c r="F49" s="757"/>
      <c r="G49" s="758"/>
      <c r="H49" s="758"/>
      <c r="I49" s="759"/>
      <c r="J49" s="758"/>
      <c r="K49" s="758"/>
      <c r="L49" s="758"/>
      <c r="M49" s="758"/>
      <c r="N49" s="760">
        <v>58.25</v>
      </c>
      <c r="O49" s="757"/>
      <c r="P49" s="757"/>
      <c r="Q49" s="757"/>
      <c r="R49" s="757"/>
      <c r="S49" s="761"/>
    </row>
    <row r="50" spans="2:43" ht="90">
      <c r="B50" s="755"/>
      <c r="C50" s="756" t="s">
        <v>1638</v>
      </c>
      <c r="D50" s="757"/>
      <c r="E50" s="757"/>
      <c r="F50" s="757"/>
      <c r="G50" s="758"/>
      <c r="H50" s="758"/>
      <c r="I50" s="759"/>
      <c r="J50" s="758"/>
      <c r="K50" s="758"/>
      <c r="L50" s="758"/>
      <c r="M50" s="758"/>
      <c r="N50" s="758"/>
      <c r="O50" s="757"/>
      <c r="P50" s="757"/>
      <c r="Q50" s="757"/>
      <c r="R50" s="757"/>
      <c r="S50" s="761"/>
    </row>
    <row r="51" spans="2:43" ht="15.75" thickBot="1">
      <c r="B51" s="755"/>
      <c r="C51" s="762"/>
      <c r="D51" s="757"/>
      <c r="E51" s="757"/>
      <c r="F51" s="757"/>
      <c r="G51" s="758"/>
      <c r="H51" s="758"/>
      <c r="I51" s="759"/>
      <c r="J51" s="758"/>
      <c r="K51" s="758"/>
      <c r="L51" s="758"/>
      <c r="M51" s="758"/>
      <c r="N51" s="763">
        <f>SUM(N13:N50)</f>
        <v>545.22</v>
      </c>
      <c r="O51" s="757"/>
      <c r="P51" s="757"/>
      <c r="Q51" s="757"/>
      <c r="R51" s="757"/>
      <c r="S51" s="761"/>
    </row>
    <row r="52" spans="2:43">
      <c r="B52" s="764"/>
      <c r="C52" s="701"/>
      <c r="D52" s="668"/>
      <c r="E52" s="668"/>
      <c r="F52" s="668"/>
      <c r="G52" s="702"/>
      <c r="H52" s="702"/>
      <c r="I52" s="669"/>
      <c r="J52" s="702"/>
      <c r="K52" s="702"/>
      <c r="L52" s="702"/>
      <c r="M52" s="702"/>
      <c r="N52" s="702"/>
      <c r="O52" s="668"/>
      <c r="P52" s="668"/>
      <c r="Q52" s="668"/>
      <c r="R52" s="668"/>
      <c r="S52" s="703"/>
    </row>
    <row r="53" spans="2:43">
      <c r="B53" s="704" t="s">
        <v>59</v>
      </c>
      <c r="C53" s="672"/>
      <c r="D53" s="673"/>
      <c r="E53" s="673"/>
      <c r="F53" s="673"/>
      <c r="G53" s="694"/>
      <c r="H53" s="694"/>
      <c r="I53" s="674"/>
      <c r="J53" s="694"/>
      <c r="K53" s="694"/>
      <c r="L53" s="694"/>
      <c r="M53" s="694"/>
      <c r="N53" s="694"/>
      <c r="O53" s="673"/>
      <c r="P53" s="673"/>
      <c r="Q53" s="673"/>
      <c r="R53" s="673"/>
      <c r="S53" s="675"/>
    </row>
    <row r="54" spans="2:43">
      <c r="B54" s="671" t="s">
        <v>276</v>
      </c>
      <c r="C54" s="672"/>
      <c r="D54" s="673"/>
      <c r="E54" s="673"/>
      <c r="F54" s="673"/>
      <c r="G54" s="694"/>
      <c r="H54" s="694"/>
      <c r="I54" s="674"/>
      <c r="J54" s="694"/>
      <c r="K54" s="694"/>
      <c r="L54" s="694"/>
      <c r="M54" s="694"/>
      <c r="N54" s="694"/>
      <c r="O54" s="673"/>
      <c r="P54" s="673"/>
      <c r="Q54" s="673"/>
      <c r="R54" s="673"/>
      <c r="S54" s="675"/>
    </row>
    <row r="55" spans="2:43" ht="69.75" customHeight="1">
      <c r="B55" s="676" t="s">
        <v>277</v>
      </c>
      <c r="C55" s="765" t="s">
        <v>1576</v>
      </c>
      <c r="D55" s="678" t="s">
        <v>1565</v>
      </c>
      <c r="E55" s="678" t="s">
        <v>1566</v>
      </c>
      <c r="F55" s="683"/>
      <c r="G55" s="693" t="s">
        <v>1639</v>
      </c>
      <c r="H55" s="766"/>
      <c r="I55" s="693" t="s">
        <v>1639</v>
      </c>
      <c r="J55" s="693" t="s">
        <v>1640</v>
      </c>
      <c r="K55" s="766"/>
      <c r="L55" s="693" t="s">
        <v>1640</v>
      </c>
      <c r="M55" s="766"/>
      <c r="N55" s="689">
        <v>70.8</v>
      </c>
      <c r="O55" s="683"/>
      <c r="P55" s="683"/>
      <c r="Q55" s="683"/>
      <c r="R55" s="683"/>
      <c r="S55" s="684"/>
    </row>
    <row r="56" spans="2:43" ht="105">
      <c r="B56" s="685" t="s">
        <v>278</v>
      </c>
      <c r="C56" s="677" t="s">
        <v>1641</v>
      </c>
      <c r="D56" s="683"/>
      <c r="E56" s="683"/>
      <c r="F56" s="690" t="s">
        <v>1642</v>
      </c>
      <c r="G56" s="691">
        <v>44811</v>
      </c>
      <c r="H56" s="688"/>
      <c r="I56" s="691">
        <v>44811</v>
      </c>
      <c r="J56" s="691">
        <v>45016</v>
      </c>
      <c r="K56" s="691"/>
      <c r="L56" s="691">
        <v>45016</v>
      </c>
      <c r="M56" s="688"/>
      <c r="N56" s="708">
        <v>84</v>
      </c>
      <c r="O56" s="683"/>
      <c r="P56" s="683"/>
      <c r="Q56" s="683"/>
      <c r="R56" s="683"/>
      <c r="S56" s="684"/>
      <c r="T56" s="767"/>
      <c r="U56" s="767"/>
      <c r="V56" s="767"/>
      <c r="W56" s="767"/>
      <c r="X56" s="767"/>
      <c r="Y56" s="767"/>
      <c r="Z56" s="767"/>
      <c r="AA56" s="767"/>
      <c r="AB56" s="767"/>
      <c r="AC56" s="767"/>
      <c r="AD56" s="767"/>
      <c r="AE56" s="767"/>
      <c r="AF56" s="767"/>
      <c r="AG56" s="767"/>
      <c r="AH56" s="767"/>
      <c r="AI56" s="767"/>
      <c r="AJ56" s="767"/>
      <c r="AK56" s="767"/>
      <c r="AL56" s="767"/>
      <c r="AM56" s="767"/>
      <c r="AN56" s="767"/>
      <c r="AO56" s="767"/>
      <c r="AP56" s="767"/>
      <c r="AQ56" s="767"/>
    </row>
    <row r="57" spans="2:43" ht="75">
      <c r="B57" s="685"/>
      <c r="C57" s="678" t="s">
        <v>1580</v>
      </c>
      <c r="D57" s="683"/>
      <c r="E57" s="683"/>
      <c r="F57" s="683"/>
      <c r="G57" s="693" t="s">
        <v>1643</v>
      </c>
      <c r="H57" s="688"/>
      <c r="I57" s="693" t="s">
        <v>1643</v>
      </c>
      <c r="J57" s="688" t="s">
        <v>1644</v>
      </c>
      <c r="K57" s="688"/>
      <c r="L57" s="688" t="s">
        <v>1644</v>
      </c>
      <c r="M57" s="688">
        <v>461</v>
      </c>
      <c r="N57" s="688">
        <v>0</v>
      </c>
      <c r="O57" s="683"/>
      <c r="P57" s="683"/>
      <c r="Q57" s="683"/>
      <c r="R57" s="683"/>
      <c r="S57" s="768"/>
      <c r="T57" s="270"/>
      <c r="U57" s="270"/>
      <c r="V57" s="270"/>
      <c r="W57" s="270"/>
      <c r="X57" s="270"/>
      <c r="Y57" s="270"/>
      <c r="Z57" s="270"/>
      <c r="AA57" s="270"/>
      <c r="AB57" s="270"/>
      <c r="AC57" s="270"/>
      <c r="AD57" s="270"/>
      <c r="AE57" s="270"/>
      <c r="AF57" s="270"/>
      <c r="AG57" s="270"/>
      <c r="AH57" s="270"/>
      <c r="AI57" s="270"/>
      <c r="AJ57" s="270"/>
      <c r="AK57" s="270"/>
      <c r="AL57" s="270"/>
      <c r="AM57" s="270"/>
    </row>
    <row r="58" spans="2:43" ht="60">
      <c r="B58" s="685" t="s">
        <v>278</v>
      </c>
      <c r="C58" s="686" t="s">
        <v>1202</v>
      </c>
      <c r="D58" s="678" t="s">
        <v>1203</v>
      </c>
      <c r="E58" s="687" t="s">
        <v>1571</v>
      </c>
      <c r="F58" s="683"/>
      <c r="G58" s="679" t="s">
        <v>1572</v>
      </c>
      <c r="H58" s="688"/>
      <c r="I58" s="679" t="s">
        <v>1572</v>
      </c>
      <c r="J58" s="678" t="s">
        <v>1573</v>
      </c>
      <c r="K58" s="678" t="s">
        <v>1574</v>
      </c>
      <c r="L58" s="683"/>
      <c r="M58" s="679" t="s">
        <v>1575</v>
      </c>
      <c r="N58" s="689">
        <v>67.260000000000005</v>
      </c>
      <c r="O58" s="683"/>
      <c r="P58" s="683"/>
      <c r="Q58" s="683"/>
      <c r="R58" s="683"/>
      <c r="S58" s="684"/>
    </row>
    <row r="59" spans="2:43" ht="14.1" customHeight="1">
      <c r="B59" s="676" t="s">
        <v>279</v>
      </c>
      <c r="C59" s="690" t="s">
        <v>1645</v>
      </c>
      <c r="D59" s="683" t="s">
        <v>1646</v>
      </c>
      <c r="E59" s="683"/>
      <c r="F59" s="683"/>
      <c r="G59" s="683"/>
      <c r="H59" s="683"/>
      <c r="I59" s="683"/>
      <c r="J59" s="683"/>
      <c r="K59" s="683"/>
      <c r="L59" s="683"/>
      <c r="M59" s="683"/>
      <c r="N59" s="683"/>
      <c r="O59" s="683"/>
      <c r="P59" s="683"/>
      <c r="Q59" s="683"/>
      <c r="R59" s="683"/>
      <c r="S59" s="769"/>
    </row>
    <row r="60" spans="2:43" ht="63.75">
      <c r="B60" s="685" t="s">
        <v>278</v>
      </c>
      <c r="C60" s="770" t="s">
        <v>1647</v>
      </c>
      <c r="D60" s="742"/>
      <c r="E60" s="742"/>
      <c r="F60" s="742"/>
      <c r="G60" s="742"/>
      <c r="H60" s="742"/>
      <c r="I60" s="740"/>
      <c r="J60" s="742"/>
      <c r="K60" s="742"/>
      <c r="L60" s="742"/>
      <c r="M60" s="742"/>
      <c r="N60" s="742"/>
      <c r="O60" s="742"/>
      <c r="P60" s="742"/>
      <c r="Q60" s="742"/>
      <c r="R60" s="742"/>
      <c r="S60" s="743"/>
    </row>
    <row r="61" spans="2:43">
      <c r="B61" s="685" t="s">
        <v>278</v>
      </c>
      <c r="C61" s="672"/>
      <c r="D61" s="673"/>
      <c r="E61" s="673"/>
      <c r="F61" s="673"/>
      <c r="G61" s="673"/>
      <c r="H61" s="673"/>
      <c r="I61" s="674"/>
      <c r="J61" s="673"/>
      <c r="K61" s="673"/>
      <c r="L61" s="673"/>
      <c r="M61" s="673"/>
      <c r="N61" s="673"/>
      <c r="O61" s="673"/>
      <c r="P61" s="673"/>
      <c r="Q61" s="673"/>
      <c r="R61" s="673"/>
      <c r="S61" s="675"/>
    </row>
    <row r="62" spans="2:43" ht="14.1" customHeight="1">
      <c r="B62" s="704" t="s">
        <v>280</v>
      </c>
      <c r="C62" s="705" t="s">
        <v>1648</v>
      </c>
      <c r="D62" s="706" t="s">
        <v>1583</v>
      </c>
      <c r="E62" s="707">
        <v>45016</v>
      </c>
      <c r="F62" s="673"/>
      <c r="G62" s="673"/>
      <c r="H62" s="673"/>
      <c r="I62" s="674"/>
      <c r="J62" s="673"/>
      <c r="K62" s="673"/>
      <c r="L62" s="673"/>
      <c r="M62" s="673"/>
      <c r="N62" s="673"/>
      <c r="O62" s="673"/>
      <c r="P62" s="673"/>
      <c r="Q62" s="673"/>
      <c r="R62" s="673"/>
      <c r="S62" s="675"/>
    </row>
    <row r="63" spans="2:43" ht="30">
      <c r="B63" s="685" t="s">
        <v>278</v>
      </c>
      <c r="C63" s="705" t="s">
        <v>1649</v>
      </c>
      <c r="D63" s="706" t="s">
        <v>1583</v>
      </c>
      <c r="E63" s="707">
        <v>45016</v>
      </c>
      <c r="F63" s="673"/>
      <c r="G63" s="673"/>
      <c r="H63" s="673"/>
      <c r="I63" s="674"/>
      <c r="J63" s="673"/>
      <c r="K63" s="673"/>
      <c r="L63" s="673"/>
      <c r="M63" s="673"/>
      <c r="N63" s="673"/>
      <c r="O63" s="673"/>
      <c r="P63" s="673"/>
      <c r="Q63" s="673"/>
      <c r="R63" s="673"/>
      <c r="S63" s="675"/>
    </row>
    <row r="64" spans="2:43" ht="45">
      <c r="B64" s="685"/>
      <c r="C64" s="705" t="s">
        <v>1650</v>
      </c>
      <c r="D64" s="706" t="s">
        <v>1583</v>
      </c>
      <c r="E64" s="707">
        <v>45016</v>
      </c>
      <c r="F64" s="673"/>
      <c r="G64" s="673"/>
      <c r="H64" s="673"/>
      <c r="I64" s="674"/>
      <c r="J64" s="673"/>
      <c r="K64" s="673"/>
      <c r="L64" s="673"/>
      <c r="M64" s="673"/>
      <c r="N64" s="673"/>
      <c r="O64" s="673"/>
      <c r="P64" s="673"/>
      <c r="Q64" s="673"/>
      <c r="R64" s="673"/>
      <c r="S64" s="675"/>
    </row>
    <row r="65" spans="2:19" ht="45">
      <c r="B65" s="685"/>
      <c r="C65" s="705" t="s">
        <v>1651</v>
      </c>
      <c r="D65" s="706" t="s">
        <v>1583</v>
      </c>
      <c r="E65" s="707">
        <v>45016</v>
      </c>
      <c r="F65" s="673"/>
      <c r="G65" s="673"/>
      <c r="H65" s="673"/>
      <c r="I65" s="674"/>
      <c r="J65" s="673"/>
      <c r="K65" s="673"/>
      <c r="L65" s="673"/>
      <c r="M65" s="673"/>
      <c r="N65" s="673"/>
      <c r="O65" s="673"/>
      <c r="P65" s="673"/>
      <c r="Q65" s="673"/>
      <c r="R65" s="673"/>
      <c r="S65" s="675"/>
    </row>
    <row r="66" spans="2:19" ht="60">
      <c r="B66" s="685"/>
      <c r="C66" s="705" t="s">
        <v>1652</v>
      </c>
      <c r="D66" s="706" t="s">
        <v>1583</v>
      </c>
      <c r="E66" s="707">
        <v>45016</v>
      </c>
      <c r="F66" s="673"/>
      <c r="G66" s="673"/>
      <c r="H66" s="673"/>
      <c r="I66" s="674"/>
      <c r="J66" s="673"/>
      <c r="K66" s="673"/>
      <c r="L66" s="673"/>
      <c r="M66" s="673"/>
      <c r="N66" s="673"/>
      <c r="O66" s="673"/>
      <c r="P66" s="673"/>
      <c r="Q66" s="673"/>
      <c r="R66" s="673"/>
      <c r="S66" s="675"/>
    </row>
    <row r="67" spans="2:19" ht="60">
      <c r="B67" s="685"/>
      <c r="C67" s="705" t="s">
        <v>1653</v>
      </c>
      <c r="D67" s="706" t="s">
        <v>1583</v>
      </c>
      <c r="E67" s="707">
        <v>45016</v>
      </c>
      <c r="F67" s="673"/>
      <c r="G67" s="673"/>
      <c r="H67" s="673"/>
      <c r="I67" s="674"/>
      <c r="J67" s="673"/>
      <c r="K67" s="673"/>
      <c r="L67" s="673"/>
      <c r="M67" s="673"/>
      <c r="N67" s="673"/>
      <c r="O67" s="673"/>
      <c r="P67" s="673"/>
      <c r="Q67" s="673"/>
      <c r="R67" s="673"/>
      <c r="S67" s="675"/>
    </row>
    <row r="68" spans="2:19" ht="45">
      <c r="B68" s="685"/>
      <c r="C68" s="705" t="s">
        <v>1654</v>
      </c>
      <c r="D68" s="706" t="s">
        <v>1583</v>
      </c>
      <c r="E68" s="707">
        <v>45016</v>
      </c>
      <c r="F68" s="673"/>
      <c r="G68" s="673"/>
      <c r="H68" s="673"/>
      <c r="I68" s="674"/>
      <c r="J68" s="673"/>
      <c r="K68" s="673"/>
      <c r="L68" s="673"/>
      <c r="M68" s="673"/>
      <c r="N68" s="673"/>
      <c r="O68" s="673"/>
      <c r="P68" s="673"/>
      <c r="Q68" s="673"/>
      <c r="R68" s="673"/>
      <c r="S68" s="675"/>
    </row>
    <row r="69" spans="2:19" ht="60">
      <c r="B69" s="685"/>
      <c r="C69" s="705" t="s">
        <v>1655</v>
      </c>
      <c r="D69" s="706" t="s">
        <v>1583</v>
      </c>
      <c r="E69" s="707">
        <v>45016</v>
      </c>
      <c r="F69" s="673"/>
      <c r="G69" s="673"/>
      <c r="H69" s="673"/>
      <c r="I69" s="674"/>
      <c r="J69" s="673"/>
      <c r="K69" s="673"/>
      <c r="L69" s="673"/>
      <c r="M69" s="673"/>
      <c r="N69" s="673"/>
      <c r="O69" s="673"/>
      <c r="P69" s="673"/>
      <c r="Q69" s="673"/>
      <c r="R69" s="673"/>
      <c r="S69" s="675"/>
    </row>
    <row r="70" spans="2:19" ht="90">
      <c r="B70" s="685"/>
      <c r="C70" s="705" t="s">
        <v>1656</v>
      </c>
      <c r="D70" s="706" t="s">
        <v>1583</v>
      </c>
      <c r="E70" s="707">
        <v>45016</v>
      </c>
      <c r="F70" s="673"/>
      <c r="G70" s="673"/>
      <c r="H70" s="673"/>
      <c r="I70" s="674"/>
      <c r="J70" s="673"/>
      <c r="K70" s="673"/>
      <c r="L70" s="673"/>
      <c r="M70" s="673"/>
      <c r="N70" s="673"/>
      <c r="O70" s="673"/>
      <c r="P70" s="673"/>
      <c r="Q70" s="673"/>
      <c r="R70" s="673"/>
      <c r="S70" s="675"/>
    </row>
    <row r="71" spans="2:19" ht="90">
      <c r="B71" s="685"/>
      <c r="C71" s="686" t="s">
        <v>1657</v>
      </c>
      <c r="D71" s="718" t="s">
        <v>1583</v>
      </c>
      <c r="E71" s="719">
        <v>45016</v>
      </c>
      <c r="F71" s="690" t="s">
        <v>1658</v>
      </c>
      <c r="G71" s="683"/>
      <c r="H71" s="683"/>
      <c r="I71" s="693"/>
      <c r="J71" s="683"/>
      <c r="K71" s="683"/>
      <c r="L71" s="683"/>
      <c r="M71" s="683"/>
      <c r="N71" s="683"/>
      <c r="O71" s="683"/>
      <c r="P71" s="683"/>
      <c r="Q71" s="683"/>
      <c r="R71" s="683"/>
      <c r="S71" s="684"/>
    </row>
    <row r="72" spans="2:19" ht="45">
      <c r="B72" s="685"/>
      <c r="C72" s="686" t="s">
        <v>1659</v>
      </c>
      <c r="D72" s="718" t="s">
        <v>1583</v>
      </c>
      <c r="E72" s="719">
        <v>45016</v>
      </c>
      <c r="F72" s="678" t="s">
        <v>1658</v>
      </c>
      <c r="G72" s="683"/>
      <c r="H72" s="683"/>
      <c r="I72" s="693"/>
      <c r="J72" s="683"/>
      <c r="K72" s="683"/>
      <c r="L72" s="683"/>
      <c r="M72" s="683"/>
      <c r="N72" s="683"/>
      <c r="O72" s="683"/>
      <c r="P72" s="683"/>
      <c r="Q72" s="683"/>
      <c r="R72" s="683"/>
      <c r="S72" s="684"/>
    </row>
    <row r="73" spans="2:19" ht="105">
      <c r="B73" s="685"/>
      <c r="C73" s="686" t="s">
        <v>1660</v>
      </c>
      <c r="D73" s="718" t="s">
        <v>1583</v>
      </c>
      <c r="E73" s="719">
        <v>45016</v>
      </c>
      <c r="F73" s="690" t="s">
        <v>1661</v>
      </c>
      <c r="G73" s="683"/>
      <c r="H73" s="683"/>
      <c r="I73" s="693"/>
      <c r="J73" s="683"/>
      <c r="K73" s="683"/>
      <c r="L73" s="683"/>
      <c r="M73" s="683"/>
      <c r="N73" s="683"/>
      <c r="O73" s="683"/>
      <c r="P73" s="683"/>
      <c r="Q73" s="683"/>
      <c r="R73" s="683"/>
      <c r="S73" s="684"/>
    </row>
    <row r="74" spans="2:19" ht="105">
      <c r="B74" s="685"/>
      <c r="C74" s="686" t="s">
        <v>1662</v>
      </c>
      <c r="D74" s="718" t="s">
        <v>1583</v>
      </c>
      <c r="E74" s="719">
        <v>45016</v>
      </c>
      <c r="F74" s="678" t="s">
        <v>1663</v>
      </c>
      <c r="G74" s="683"/>
      <c r="H74" s="683"/>
      <c r="I74" s="693"/>
      <c r="J74" s="683"/>
      <c r="K74" s="683"/>
      <c r="L74" s="683"/>
      <c r="M74" s="683"/>
      <c r="N74" s="683"/>
      <c r="O74" s="683"/>
      <c r="P74" s="683"/>
      <c r="Q74" s="683"/>
      <c r="R74" s="683"/>
      <c r="S74" s="684"/>
    </row>
    <row r="75" spans="2:19" ht="26.25">
      <c r="B75" s="685"/>
      <c r="C75" s="705" t="s">
        <v>1664</v>
      </c>
      <c r="D75" s="706" t="s">
        <v>1583</v>
      </c>
      <c r="E75" s="707">
        <v>45016</v>
      </c>
      <c r="F75" s="673"/>
      <c r="G75" s="673"/>
      <c r="H75" s="673"/>
      <c r="I75" s="674"/>
      <c r="J75" s="673"/>
      <c r="K75" s="673"/>
      <c r="L75" s="673"/>
      <c r="M75" s="673"/>
      <c r="N75" s="673"/>
      <c r="O75" s="673"/>
      <c r="P75" s="673"/>
      <c r="Q75" s="673"/>
      <c r="R75" s="673"/>
      <c r="S75" s="675"/>
    </row>
    <row r="76" spans="2:19" ht="75">
      <c r="B76" s="685"/>
      <c r="C76" s="705" t="s">
        <v>1626</v>
      </c>
      <c r="D76" s="706" t="s">
        <v>1583</v>
      </c>
      <c r="E76" s="707">
        <v>45016</v>
      </c>
      <c r="F76" s="673"/>
      <c r="G76" s="673"/>
      <c r="H76" s="673"/>
      <c r="I76" s="674"/>
      <c r="J76" s="673"/>
      <c r="K76" s="673"/>
      <c r="L76" s="673"/>
      <c r="M76" s="673"/>
      <c r="N76" s="673"/>
      <c r="O76" s="673"/>
      <c r="P76" s="673"/>
      <c r="Q76" s="673"/>
      <c r="R76" s="673"/>
      <c r="S76" s="675"/>
    </row>
    <row r="77" spans="2:19" ht="26.25">
      <c r="B77" s="695"/>
      <c r="C77" s="686" t="s">
        <v>1207</v>
      </c>
      <c r="D77" s="718" t="s">
        <v>1583</v>
      </c>
      <c r="E77" s="719">
        <v>45016</v>
      </c>
      <c r="F77" s="771" t="s">
        <v>1646</v>
      </c>
      <c r="G77" s="771"/>
      <c r="H77" s="771"/>
      <c r="I77" s="772"/>
      <c r="J77" s="771"/>
      <c r="K77" s="771"/>
      <c r="L77" s="771"/>
      <c r="M77" s="771"/>
      <c r="N77" s="771"/>
      <c r="O77" s="771"/>
      <c r="P77" s="771"/>
      <c r="Q77" s="771"/>
      <c r="R77" s="771"/>
      <c r="S77" s="773"/>
    </row>
    <row r="78" spans="2:19" ht="60">
      <c r="B78" s="695"/>
      <c r="C78" s="705" t="s">
        <v>1627</v>
      </c>
      <c r="D78" s="706" t="s">
        <v>1583</v>
      </c>
      <c r="E78" s="707">
        <v>45016</v>
      </c>
      <c r="F78" s="697"/>
      <c r="G78" s="697"/>
      <c r="H78" s="697"/>
      <c r="I78" s="699"/>
      <c r="J78" s="697"/>
      <c r="K78" s="697"/>
      <c r="L78" s="697"/>
      <c r="M78" s="697"/>
      <c r="N78" s="697"/>
      <c r="O78" s="697"/>
      <c r="P78" s="697"/>
      <c r="Q78" s="697"/>
      <c r="R78" s="697"/>
      <c r="S78" s="700"/>
    </row>
    <row r="79" spans="2:19" ht="45">
      <c r="B79" s="695"/>
      <c r="C79" s="686" t="s">
        <v>1628</v>
      </c>
      <c r="D79" s="718" t="s">
        <v>1583</v>
      </c>
      <c r="E79" s="719">
        <v>45016</v>
      </c>
      <c r="F79" s="771"/>
      <c r="G79" s="771"/>
      <c r="H79" s="771"/>
      <c r="I79" s="772"/>
      <c r="J79" s="771"/>
      <c r="K79" s="771"/>
      <c r="L79" s="771"/>
      <c r="M79" s="679" t="s">
        <v>1630</v>
      </c>
      <c r="N79" s="771"/>
      <c r="O79" s="771"/>
      <c r="P79" s="771"/>
      <c r="Q79" s="771"/>
      <c r="R79" s="771"/>
      <c r="S79" s="773"/>
    </row>
    <row r="80" spans="2:19" ht="45">
      <c r="B80" s="695"/>
      <c r="C80" s="705" t="s">
        <v>1631</v>
      </c>
      <c r="D80" s="706" t="s">
        <v>1583</v>
      </c>
      <c r="E80" s="707">
        <v>45016</v>
      </c>
      <c r="F80" s="697"/>
      <c r="G80" s="697"/>
      <c r="H80" s="697"/>
      <c r="I80" s="699"/>
      <c r="J80" s="697"/>
      <c r="K80" s="697"/>
      <c r="L80" s="697"/>
      <c r="M80" s="697"/>
      <c r="N80" s="697"/>
      <c r="O80" s="697"/>
      <c r="P80" s="697"/>
      <c r="Q80" s="697"/>
      <c r="R80" s="697"/>
      <c r="S80" s="700"/>
    </row>
    <row r="81" spans="2:19" ht="30">
      <c r="B81" s="695"/>
      <c r="C81" s="705" t="s">
        <v>1633</v>
      </c>
      <c r="D81" s="706" t="s">
        <v>1583</v>
      </c>
      <c r="E81" s="707">
        <v>45016</v>
      </c>
      <c r="F81" s="697"/>
      <c r="G81" s="697"/>
      <c r="H81" s="697"/>
      <c r="I81" s="699"/>
      <c r="J81" s="697"/>
      <c r="K81" s="697"/>
      <c r="L81" s="697"/>
      <c r="M81" s="697"/>
      <c r="N81" s="697"/>
      <c r="O81" s="697"/>
      <c r="P81" s="697"/>
      <c r="Q81" s="697"/>
      <c r="R81" s="697"/>
      <c r="S81" s="700"/>
    </row>
    <row r="82" spans="2:19" ht="30">
      <c r="B82" s="695"/>
      <c r="C82" s="705" t="s">
        <v>1634</v>
      </c>
      <c r="D82" s="706" t="s">
        <v>1583</v>
      </c>
      <c r="E82" s="707">
        <v>45016</v>
      </c>
      <c r="F82" s="697"/>
      <c r="G82" s="697"/>
      <c r="H82" s="697"/>
      <c r="I82" s="699"/>
      <c r="J82" s="697"/>
      <c r="K82" s="697"/>
      <c r="L82" s="697"/>
      <c r="M82" s="697"/>
      <c r="N82" s="697"/>
      <c r="O82" s="697"/>
      <c r="P82" s="697"/>
      <c r="Q82" s="697"/>
      <c r="R82" s="697"/>
      <c r="S82" s="700"/>
    </row>
    <row r="83" spans="2:19" ht="30">
      <c r="B83" s="695"/>
      <c r="C83" s="686" t="s">
        <v>1665</v>
      </c>
      <c r="D83" s="718" t="s">
        <v>1583</v>
      </c>
      <c r="E83" s="719">
        <v>45016</v>
      </c>
      <c r="F83" s="771"/>
      <c r="G83" s="771"/>
      <c r="H83" s="771"/>
      <c r="I83" s="772"/>
      <c r="J83" s="771"/>
      <c r="K83" s="771"/>
      <c r="L83" s="771"/>
      <c r="M83" s="693"/>
      <c r="N83" s="689">
        <v>12.84</v>
      </c>
      <c r="O83" s="771"/>
      <c r="P83" s="771"/>
      <c r="Q83" s="771"/>
      <c r="R83" s="771"/>
      <c r="S83" s="773"/>
    </row>
    <row r="84" spans="2:19" ht="45">
      <c r="B84" s="695"/>
      <c r="C84" s="686" t="s">
        <v>1666</v>
      </c>
      <c r="D84" s="718" t="s">
        <v>1583</v>
      </c>
      <c r="E84" s="719">
        <v>45016</v>
      </c>
      <c r="F84" s="771"/>
      <c r="G84" s="771"/>
      <c r="H84" s="771"/>
      <c r="I84" s="772"/>
      <c r="J84" s="771"/>
      <c r="K84" s="771"/>
      <c r="L84" s="771"/>
      <c r="M84" s="693"/>
      <c r="N84" s="689">
        <v>16.239999999999998</v>
      </c>
      <c r="O84" s="771"/>
      <c r="P84" s="771"/>
      <c r="Q84" s="771"/>
      <c r="R84" s="771"/>
      <c r="S84" s="773"/>
    </row>
    <row r="85" spans="2:19" ht="60">
      <c r="B85" s="695"/>
      <c r="C85" s="774" t="s">
        <v>1608</v>
      </c>
      <c r="D85" s="775" t="s">
        <v>1583</v>
      </c>
      <c r="E85" s="776">
        <v>45016</v>
      </c>
      <c r="F85" s="771"/>
      <c r="G85" s="771"/>
      <c r="H85" s="771"/>
      <c r="I85" s="772"/>
      <c r="J85" s="771"/>
      <c r="K85" s="771"/>
      <c r="L85" s="771"/>
      <c r="M85" s="693"/>
      <c r="N85" s="689">
        <v>49</v>
      </c>
      <c r="O85" s="771"/>
      <c r="P85" s="771"/>
      <c r="Q85" s="771"/>
      <c r="R85" s="771"/>
      <c r="S85" s="777"/>
    </row>
    <row r="86" spans="2:19" ht="45">
      <c r="B86" s="695"/>
      <c r="C86" s="756" t="s">
        <v>1637</v>
      </c>
      <c r="D86" s="778"/>
      <c r="E86" s="779"/>
      <c r="F86" s="771"/>
      <c r="G86" s="771"/>
      <c r="H86" s="771"/>
      <c r="I86" s="772"/>
      <c r="J86" s="771"/>
      <c r="K86" s="771"/>
      <c r="L86" s="771"/>
      <c r="M86" s="772"/>
      <c r="N86" s="760">
        <v>18.16</v>
      </c>
      <c r="O86" s="771"/>
      <c r="P86" s="771"/>
      <c r="Q86" s="771"/>
      <c r="R86" s="771"/>
      <c r="S86" s="777"/>
    </row>
    <row r="87" spans="2:19" ht="45">
      <c r="B87" s="695"/>
      <c r="C87" s="756" t="s">
        <v>1667</v>
      </c>
      <c r="D87" s="778"/>
      <c r="E87" s="779"/>
      <c r="F87" s="771"/>
      <c r="G87" s="771"/>
      <c r="H87" s="771"/>
      <c r="I87" s="772"/>
      <c r="J87" s="771"/>
      <c r="K87" s="771"/>
      <c r="L87" s="771"/>
      <c r="M87" s="772"/>
      <c r="N87" s="772"/>
      <c r="O87" s="771"/>
      <c r="P87" s="771"/>
      <c r="Q87" s="771"/>
      <c r="R87" s="771"/>
      <c r="S87" s="777"/>
    </row>
    <row r="88" spans="2:19" ht="15.75" thickBot="1">
      <c r="B88" s="695" t="s">
        <v>278</v>
      </c>
      <c r="C88" s="696"/>
      <c r="D88" s="697"/>
      <c r="E88" s="697"/>
      <c r="F88" s="697"/>
      <c r="G88" s="697"/>
      <c r="H88" s="697"/>
      <c r="I88" s="699"/>
      <c r="J88" s="697"/>
      <c r="K88" s="697"/>
      <c r="L88" s="697"/>
      <c r="M88" s="697"/>
      <c r="N88" s="780">
        <f>SUM(N55:N87)</f>
        <v>318.3</v>
      </c>
      <c r="O88" s="697"/>
      <c r="P88" s="697"/>
      <c r="Q88" s="697"/>
      <c r="R88" s="697"/>
      <c r="S88" s="700"/>
    </row>
    <row r="89" spans="2:19" s="781" customFormat="1">
      <c r="B89" s="782"/>
      <c r="C89" s="783"/>
      <c r="D89" s="784"/>
      <c r="E89" s="784"/>
      <c r="F89" s="784"/>
      <c r="G89" s="784"/>
      <c r="H89" s="784"/>
      <c r="I89" s="785"/>
      <c r="J89" s="784"/>
      <c r="K89" s="784"/>
      <c r="L89" s="784"/>
      <c r="M89" s="784"/>
      <c r="N89" s="784"/>
      <c r="O89" s="784"/>
      <c r="P89" s="784"/>
      <c r="Q89" s="784"/>
      <c r="R89" s="784"/>
      <c r="S89" s="786"/>
    </row>
    <row r="90" spans="2:19">
      <c r="B90" s="704" t="s">
        <v>60</v>
      </c>
      <c r="C90" s="672"/>
      <c r="D90" s="673"/>
      <c r="E90" s="673"/>
      <c r="F90" s="673"/>
      <c r="G90" s="673"/>
      <c r="H90" s="673"/>
      <c r="I90" s="674"/>
      <c r="J90" s="673"/>
      <c r="K90" s="673"/>
      <c r="L90" s="673"/>
      <c r="M90" s="673"/>
      <c r="N90" s="673"/>
      <c r="O90" s="673"/>
      <c r="P90" s="673"/>
      <c r="Q90" s="673"/>
      <c r="R90" s="673"/>
      <c r="S90" s="675"/>
    </row>
    <row r="91" spans="2:19">
      <c r="B91" s="671" t="s">
        <v>276</v>
      </c>
      <c r="C91" s="672"/>
      <c r="D91" s="673"/>
      <c r="E91" s="673"/>
      <c r="F91" s="673"/>
      <c r="G91" s="673"/>
      <c r="H91" s="673"/>
      <c r="I91" s="674"/>
      <c r="J91" s="673"/>
      <c r="K91" s="673"/>
      <c r="L91" s="673"/>
      <c r="M91" s="673"/>
      <c r="N91" s="673"/>
      <c r="O91" s="673"/>
      <c r="P91" s="673"/>
      <c r="Q91" s="673"/>
      <c r="R91" s="673"/>
      <c r="S91" s="675"/>
    </row>
    <row r="92" spans="2:19" ht="90">
      <c r="B92" s="676" t="s">
        <v>277</v>
      </c>
      <c r="C92" s="677" t="s">
        <v>1641</v>
      </c>
      <c r="D92" s="683"/>
      <c r="E92" s="683"/>
      <c r="F92" s="690" t="s">
        <v>1668</v>
      </c>
      <c r="G92" s="692">
        <v>45373</v>
      </c>
      <c r="H92" s="693"/>
      <c r="I92" s="692">
        <v>45373</v>
      </c>
      <c r="J92" s="692">
        <v>45504</v>
      </c>
      <c r="K92" s="693"/>
      <c r="L92" s="692">
        <v>45504</v>
      </c>
      <c r="M92" s="693"/>
      <c r="N92" s="693">
        <v>56</v>
      </c>
      <c r="O92" s="693"/>
      <c r="P92" s="693"/>
      <c r="Q92" s="693"/>
      <c r="R92" s="693"/>
      <c r="S92" s="787"/>
    </row>
    <row r="93" spans="2:19" ht="150">
      <c r="B93" s="685" t="s">
        <v>278</v>
      </c>
      <c r="C93" s="678" t="s">
        <v>1580</v>
      </c>
      <c r="D93" s="683"/>
      <c r="E93" s="683"/>
      <c r="F93" s="690" t="s">
        <v>1669</v>
      </c>
      <c r="G93" s="693" t="s">
        <v>1670</v>
      </c>
      <c r="H93" s="693"/>
      <c r="I93" s="693"/>
      <c r="J93" s="693"/>
      <c r="K93" s="693"/>
      <c r="L93" s="693"/>
      <c r="M93" s="693"/>
      <c r="N93" s="693">
        <v>461</v>
      </c>
      <c r="O93" s="693"/>
      <c r="P93" s="693"/>
      <c r="Q93" s="693"/>
      <c r="R93" s="693"/>
      <c r="S93" s="787"/>
    </row>
    <row r="94" spans="2:19" ht="63.75">
      <c r="B94" s="685"/>
      <c r="C94" s="735" t="s">
        <v>1647</v>
      </c>
      <c r="D94" s="690" t="s">
        <v>1671</v>
      </c>
      <c r="E94" s="788">
        <v>45457</v>
      </c>
      <c r="F94" s="735" t="s">
        <v>1647</v>
      </c>
      <c r="G94" s="683"/>
      <c r="H94" s="683"/>
      <c r="I94" s="693"/>
      <c r="J94" s="683"/>
      <c r="K94" s="683"/>
      <c r="L94" s="683"/>
      <c r="M94" s="690" t="s">
        <v>1672</v>
      </c>
      <c r="N94" s="693"/>
      <c r="O94" s="683"/>
      <c r="P94" s="683"/>
      <c r="Q94" s="683"/>
      <c r="R94" s="683"/>
      <c r="S94" s="684"/>
    </row>
    <row r="95" spans="2:19">
      <c r="B95" s="789"/>
      <c r="C95" s="790"/>
      <c r="D95" s="742"/>
      <c r="E95" s="742"/>
      <c r="F95" s="742"/>
      <c r="G95" s="742"/>
      <c r="H95" s="742"/>
      <c r="I95" s="740"/>
      <c r="J95" s="742"/>
      <c r="K95" s="742"/>
      <c r="L95" s="742"/>
      <c r="M95" s="742"/>
      <c r="N95" s="742"/>
      <c r="O95" s="742"/>
      <c r="P95" s="742"/>
      <c r="Q95" s="742"/>
      <c r="R95" s="742"/>
      <c r="S95" s="743"/>
    </row>
    <row r="96" spans="2:19">
      <c r="B96" s="685"/>
      <c r="C96" s="791"/>
      <c r="D96" s="673"/>
      <c r="E96" s="673"/>
      <c r="F96" s="792"/>
      <c r="G96" s="673"/>
      <c r="H96" s="673"/>
      <c r="I96" s="674"/>
      <c r="J96" s="673"/>
      <c r="K96" s="673"/>
      <c r="L96" s="673"/>
      <c r="M96" s="673"/>
      <c r="N96" s="674"/>
      <c r="O96" s="673"/>
      <c r="P96" s="673"/>
      <c r="Q96" s="673"/>
      <c r="R96" s="673"/>
      <c r="S96" s="675"/>
    </row>
    <row r="97" spans="2:19" ht="14.1" customHeight="1">
      <c r="B97" s="676" t="s">
        <v>279</v>
      </c>
      <c r="C97" s="705" t="s">
        <v>1673</v>
      </c>
      <c r="D97" s="673"/>
      <c r="E97" s="673"/>
      <c r="F97" s="673"/>
      <c r="G97" s="673"/>
      <c r="H97" s="673"/>
      <c r="I97" s="674"/>
      <c r="J97" s="673"/>
      <c r="K97" s="673"/>
      <c r="L97" s="673"/>
      <c r="M97" s="673"/>
      <c r="N97" s="673"/>
      <c r="O97" s="673"/>
      <c r="P97" s="673"/>
      <c r="Q97" s="673"/>
      <c r="R97" s="673"/>
      <c r="S97" s="675"/>
    </row>
    <row r="98" spans="2:19" ht="45">
      <c r="B98" s="685" t="s">
        <v>278</v>
      </c>
      <c r="C98" s="705" t="s">
        <v>1674</v>
      </c>
      <c r="D98" s="673"/>
      <c r="E98" s="673"/>
      <c r="F98" s="673"/>
      <c r="G98" s="673"/>
      <c r="H98" s="673"/>
      <c r="I98" s="674"/>
      <c r="J98" s="673"/>
      <c r="K98" s="673"/>
      <c r="L98" s="673"/>
      <c r="M98" s="673"/>
      <c r="N98" s="673"/>
      <c r="O98" s="673"/>
      <c r="P98" s="673"/>
      <c r="Q98" s="673"/>
      <c r="R98" s="673"/>
      <c r="S98" s="675"/>
    </row>
    <row r="99" spans="2:19" ht="135">
      <c r="B99" s="685"/>
      <c r="C99" s="678" t="s">
        <v>1675</v>
      </c>
      <c r="D99" s="683"/>
      <c r="E99" s="683"/>
      <c r="F99" s="690" t="s">
        <v>1676</v>
      </c>
      <c r="G99" s="692">
        <v>45373</v>
      </c>
      <c r="H99" s="693"/>
      <c r="I99" s="692">
        <v>45373</v>
      </c>
      <c r="J99" s="692">
        <v>45504</v>
      </c>
      <c r="K99" s="693"/>
      <c r="L99" s="692">
        <v>45504</v>
      </c>
      <c r="M99" s="693"/>
      <c r="N99" s="693">
        <v>56</v>
      </c>
      <c r="O99" s="683"/>
      <c r="P99" s="683"/>
      <c r="Q99" s="683"/>
      <c r="R99" s="683"/>
      <c r="S99" s="684"/>
    </row>
    <row r="100" spans="2:19" ht="185.25">
      <c r="B100" s="685"/>
      <c r="C100" s="793" t="s">
        <v>1677</v>
      </c>
      <c r="D100" s="683"/>
      <c r="E100" s="683"/>
      <c r="F100" s="690"/>
      <c r="G100" s="692"/>
      <c r="H100" s="693"/>
      <c r="I100" s="692"/>
      <c r="J100" s="692"/>
      <c r="K100" s="693"/>
      <c r="L100" s="692"/>
      <c r="M100" s="693"/>
      <c r="N100" s="693">
        <v>985</v>
      </c>
      <c r="O100" s="683"/>
      <c r="P100" s="683"/>
      <c r="Q100" s="683"/>
      <c r="R100" s="683"/>
      <c r="S100" s="684"/>
    </row>
    <row r="101" spans="2:19" ht="150">
      <c r="B101" s="685"/>
      <c r="C101" s="678" t="s">
        <v>1678</v>
      </c>
      <c r="D101" s="683"/>
      <c r="E101" s="683"/>
      <c r="F101" s="690" t="s">
        <v>1679</v>
      </c>
      <c r="G101" s="692">
        <v>45560</v>
      </c>
      <c r="H101" s="693"/>
      <c r="I101" s="692">
        <v>45560</v>
      </c>
      <c r="J101" s="692">
        <v>45571</v>
      </c>
      <c r="K101" s="693"/>
      <c r="L101" s="692">
        <v>45571</v>
      </c>
      <c r="M101" s="693"/>
      <c r="N101" s="693">
        <v>26</v>
      </c>
      <c r="O101" s="683"/>
      <c r="P101" s="683"/>
      <c r="Q101" s="683"/>
      <c r="R101" s="683"/>
      <c r="S101" s="684"/>
    </row>
    <row r="102" spans="2:19" ht="60">
      <c r="B102" s="685"/>
      <c r="C102" s="678" t="s">
        <v>1680</v>
      </c>
      <c r="D102" s="683"/>
      <c r="E102" s="683"/>
      <c r="F102" s="690" t="s">
        <v>1681</v>
      </c>
      <c r="G102" s="683"/>
      <c r="H102" s="683"/>
      <c r="I102" s="693"/>
      <c r="J102" s="683"/>
      <c r="K102" s="683"/>
      <c r="L102" s="683"/>
      <c r="M102" s="683"/>
      <c r="N102" s="693" t="s">
        <v>1682</v>
      </c>
      <c r="O102" s="683"/>
      <c r="P102" s="683"/>
      <c r="Q102" s="683"/>
      <c r="R102" s="683"/>
      <c r="S102" s="684"/>
    </row>
    <row r="103" spans="2:19" ht="75">
      <c r="B103" s="685" t="s">
        <v>278</v>
      </c>
      <c r="C103" s="794" t="s">
        <v>1683</v>
      </c>
      <c r="D103" s="683"/>
      <c r="E103" s="683"/>
      <c r="F103" s="690" t="s">
        <v>1684</v>
      </c>
      <c r="G103" s="683"/>
      <c r="H103" s="683"/>
      <c r="I103" s="693"/>
      <c r="J103" s="683"/>
      <c r="K103" s="683"/>
      <c r="L103" s="683"/>
      <c r="M103" s="683"/>
      <c r="N103" s="683"/>
      <c r="O103" s="683"/>
      <c r="P103" s="683"/>
      <c r="Q103" s="683"/>
      <c r="R103" s="683"/>
      <c r="S103" s="684"/>
    </row>
    <row r="104" spans="2:19">
      <c r="B104" s="704" t="s">
        <v>280</v>
      </c>
      <c r="C104" s="672"/>
      <c r="D104" s="673"/>
      <c r="E104" s="673"/>
      <c r="F104" s="673"/>
      <c r="G104" s="673"/>
      <c r="H104" s="673"/>
      <c r="I104" s="674"/>
      <c r="J104" s="673"/>
      <c r="K104" s="673"/>
      <c r="L104" s="673"/>
      <c r="M104" s="673"/>
      <c r="N104" s="673"/>
      <c r="O104" s="673"/>
      <c r="P104" s="673"/>
      <c r="Q104" s="673"/>
      <c r="R104" s="673"/>
      <c r="S104" s="675"/>
    </row>
    <row r="105" spans="2:19" ht="45">
      <c r="B105" s="704"/>
      <c r="C105" s="705" t="s">
        <v>1651</v>
      </c>
      <c r="D105" s="706" t="s">
        <v>1583</v>
      </c>
      <c r="E105" s="707">
        <v>45016</v>
      </c>
      <c r="F105" s="673"/>
      <c r="G105" s="673"/>
      <c r="H105" s="673"/>
      <c r="I105" s="674"/>
      <c r="J105" s="673"/>
      <c r="K105" s="673"/>
      <c r="L105" s="673"/>
      <c r="M105" s="673"/>
      <c r="N105" s="673"/>
      <c r="O105" s="673"/>
      <c r="P105" s="673"/>
      <c r="Q105" s="673"/>
      <c r="R105" s="673"/>
      <c r="S105" s="675"/>
    </row>
    <row r="106" spans="2:19" ht="60">
      <c r="B106" s="704"/>
      <c r="C106" s="705" t="s">
        <v>1652</v>
      </c>
      <c r="D106" s="706" t="s">
        <v>1583</v>
      </c>
      <c r="E106" s="707">
        <v>45016</v>
      </c>
      <c r="F106" s="673"/>
      <c r="G106" s="673"/>
      <c r="H106" s="673"/>
      <c r="I106" s="674"/>
      <c r="J106" s="673"/>
      <c r="K106" s="673"/>
      <c r="L106" s="673"/>
      <c r="M106" s="673"/>
      <c r="N106" s="673"/>
      <c r="O106" s="673"/>
      <c r="P106" s="673"/>
      <c r="Q106" s="673"/>
      <c r="R106" s="673"/>
      <c r="S106" s="675"/>
    </row>
    <row r="107" spans="2:19" ht="60">
      <c r="B107" s="704"/>
      <c r="C107" s="705" t="s">
        <v>1653</v>
      </c>
      <c r="D107" s="706" t="s">
        <v>1583</v>
      </c>
      <c r="E107" s="707">
        <v>45016</v>
      </c>
      <c r="F107" s="673"/>
      <c r="G107" s="673"/>
      <c r="H107" s="673"/>
      <c r="I107" s="674"/>
      <c r="J107" s="673"/>
      <c r="K107" s="673"/>
      <c r="L107" s="673"/>
      <c r="M107" s="673"/>
      <c r="N107" s="673"/>
      <c r="O107" s="673"/>
      <c r="P107" s="673"/>
      <c r="Q107" s="673"/>
      <c r="R107" s="673"/>
      <c r="S107" s="675"/>
    </row>
    <row r="108" spans="2:19" ht="60">
      <c r="B108" s="704"/>
      <c r="C108" s="705" t="s">
        <v>1685</v>
      </c>
      <c r="D108" s="706" t="s">
        <v>1583</v>
      </c>
      <c r="E108" s="707">
        <v>45016</v>
      </c>
      <c r="F108" s="673"/>
      <c r="G108" s="673"/>
      <c r="H108" s="673"/>
      <c r="I108" s="674"/>
      <c r="J108" s="673"/>
      <c r="K108" s="673"/>
      <c r="L108" s="673"/>
      <c r="M108" s="673"/>
      <c r="N108" s="673"/>
      <c r="O108" s="673"/>
      <c r="P108" s="673"/>
      <c r="Q108" s="673"/>
      <c r="R108" s="673"/>
      <c r="S108" s="675"/>
    </row>
    <row r="109" spans="2:19" ht="90">
      <c r="B109" s="704"/>
      <c r="C109" s="705" t="s">
        <v>1657</v>
      </c>
      <c r="D109" s="706" t="s">
        <v>1583</v>
      </c>
      <c r="E109" s="707">
        <v>45016</v>
      </c>
      <c r="F109" s="673"/>
      <c r="G109" s="673"/>
      <c r="H109" s="673"/>
      <c r="I109" s="674"/>
      <c r="J109" s="673"/>
      <c r="K109" s="673"/>
      <c r="L109" s="673"/>
      <c r="M109" s="673"/>
      <c r="N109" s="673"/>
      <c r="O109" s="673"/>
      <c r="P109" s="673"/>
      <c r="Q109" s="673"/>
      <c r="R109" s="673"/>
      <c r="S109" s="675"/>
    </row>
    <row r="110" spans="2:19" ht="45">
      <c r="B110" s="704"/>
      <c r="C110" s="686" t="s">
        <v>1659</v>
      </c>
      <c r="D110" s="718" t="s">
        <v>1583</v>
      </c>
      <c r="E110" s="719">
        <v>45016</v>
      </c>
      <c r="F110" s="690" t="s">
        <v>1686</v>
      </c>
      <c r="G110" s="683"/>
      <c r="H110" s="683"/>
      <c r="I110" s="693"/>
      <c r="J110" s="683"/>
      <c r="K110" s="683"/>
      <c r="L110" s="683"/>
      <c r="M110" s="683"/>
      <c r="N110" s="683"/>
      <c r="O110" s="683"/>
      <c r="P110" s="683"/>
      <c r="Q110" s="683"/>
      <c r="R110" s="683"/>
      <c r="S110" s="684"/>
    </row>
    <row r="111" spans="2:19" ht="75">
      <c r="B111" s="704"/>
      <c r="C111" s="795" t="s">
        <v>1687</v>
      </c>
      <c r="D111" s="683"/>
      <c r="E111" s="683"/>
      <c r="F111" s="690" t="s">
        <v>1688</v>
      </c>
      <c r="G111" s="683" t="s">
        <v>1689</v>
      </c>
      <c r="H111" s="767"/>
      <c r="I111" s="693"/>
      <c r="J111" s="683" t="s">
        <v>1690</v>
      </c>
      <c r="K111" s="683"/>
      <c r="L111" s="683"/>
      <c r="M111" s="683">
        <v>7.7822799999999998E-2</v>
      </c>
      <c r="N111" s="683">
        <v>7.93793E-2</v>
      </c>
      <c r="O111" s="683"/>
      <c r="P111" s="683">
        <f>M111-N111</f>
        <v>-1.5565000000000023E-3</v>
      </c>
      <c r="Q111" s="683"/>
      <c r="R111" s="796"/>
      <c r="S111" s="683">
        <f>P111</f>
        <v>-1.5565000000000023E-3</v>
      </c>
    </row>
    <row r="112" spans="2:19" ht="45">
      <c r="B112" s="704"/>
      <c r="C112" s="797" t="s">
        <v>1691</v>
      </c>
      <c r="D112" s="687"/>
      <c r="E112" s="687"/>
      <c r="F112" s="678" t="s">
        <v>1692</v>
      </c>
      <c r="G112" s="687" t="s">
        <v>1693</v>
      </c>
      <c r="H112" s="687"/>
      <c r="I112" s="693"/>
      <c r="J112" s="687" t="s">
        <v>1694</v>
      </c>
      <c r="K112" s="687"/>
      <c r="L112" s="687"/>
      <c r="M112" s="687">
        <v>3.1032199999999999E-2</v>
      </c>
      <c r="N112" s="687">
        <v>3.0705300000000001E-2</v>
      </c>
      <c r="O112" s="687"/>
      <c r="P112" s="683">
        <f>M112-N112</f>
        <v>3.2689999999999803E-4</v>
      </c>
      <c r="Q112" s="687"/>
      <c r="R112" s="798"/>
      <c r="S112" s="683">
        <f t="shared" ref="S112" si="0">P112</f>
        <v>3.2689999999999803E-4</v>
      </c>
    </row>
    <row r="113" spans="2:19" ht="45">
      <c r="B113" s="704"/>
      <c r="C113" s="797" t="s">
        <v>1695</v>
      </c>
      <c r="D113" s="683"/>
      <c r="E113" s="683"/>
      <c r="F113" s="690" t="s">
        <v>1696</v>
      </c>
      <c r="G113" s="683" t="s">
        <v>1697</v>
      </c>
      <c r="H113" s="683"/>
      <c r="I113" s="693"/>
      <c r="J113" s="683"/>
      <c r="K113" s="683"/>
      <c r="L113" s="683"/>
      <c r="M113" s="683">
        <v>0.15144750000000001</v>
      </c>
      <c r="N113" s="683"/>
      <c r="O113" s="683"/>
      <c r="P113" s="683"/>
      <c r="Q113" s="683"/>
      <c r="R113" s="796"/>
      <c r="S113" s="683"/>
    </row>
    <row r="114" spans="2:19" ht="45">
      <c r="B114" s="704"/>
      <c r="C114" s="797" t="s">
        <v>1698</v>
      </c>
      <c r="D114" s="683"/>
      <c r="E114" s="683"/>
      <c r="F114" s="690" t="s">
        <v>1699</v>
      </c>
      <c r="G114" s="683" t="s">
        <v>1700</v>
      </c>
      <c r="H114" s="683"/>
      <c r="I114" s="693"/>
      <c r="J114" s="683"/>
      <c r="K114" s="683"/>
      <c r="L114" s="683"/>
      <c r="M114" s="683">
        <v>0.2401934</v>
      </c>
      <c r="N114" s="683"/>
      <c r="O114" s="683"/>
      <c r="P114" s="683"/>
      <c r="Q114" s="683"/>
      <c r="R114" s="796"/>
      <c r="S114" s="683"/>
    </row>
    <row r="115" spans="2:19" ht="75">
      <c r="B115" s="704"/>
      <c r="C115" s="705" t="s">
        <v>1701</v>
      </c>
      <c r="D115" s="706" t="s">
        <v>1583</v>
      </c>
      <c r="E115" s="707">
        <v>45016</v>
      </c>
      <c r="F115" s="673"/>
      <c r="G115" s="673"/>
      <c r="H115" s="673"/>
      <c r="I115" s="674"/>
      <c r="J115" s="673"/>
      <c r="K115" s="673"/>
      <c r="L115" s="673"/>
      <c r="M115" s="673"/>
      <c r="N115" s="673"/>
      <c r="O115" s="673"/>
      <c r="P115" s="673"/>
      <c r="Q115" s="673"/>
      <c r="R115" s="673"/>
      <c r="S115" s="675"/>
    </row>
    <row r="116" spans="2:19" ht="75">
      <c r="B116" s="704"/>
      <c r="C116" s="795" t="s">
        <v>1702</v>
      </c>
      <c r="D116" s="683"/>
      <c r="E116" s="683"/>
      <c r="F116" s="683"/>
      <c r="G116" s="683"/>
      <c r="H116" s="683"/>
      <c r="I116" s="693"/>
      <c r="J116" s="683"/>
      <c r="K116" s="683"/>
      <c r="L116" s="683"/>
      <c r="M116" s="683">
        <v>0.5</v>
      </c>
      <c r="N116" s="683"/>
      <c r="O116" s="683"/>
      <c r="P116" s="683"/>
      <c r="Q116" s="683"/>
      <c r="R116" s="683"/>
      <c r="S116" s="684"/>
    </row>
    <row r="117" spans="2:19" ht="60">
      <c r="B117" s="704"/>
      <c r="C117" s="795" t="s">
        <v>1703</v>
      </c>
      <c r="D117" s="683"/>
      <c r="E117" s="683"/>
      <c r="F117" s="683"/>
      <c r="G117" s="683"/>
      <c r="H117" s="683"/>
      <c r="I117" s="693"/>
      <c r="J117" s="683"/>
      <c r="K117" s="683"/>
      <c r="L117" s="683"/>
      <c r="M117" s="683">
        <v>0.1</v>
      </c>
      <c r="N117" s="683"/>
      <c r="O117" s="683"/>
      <c r="P117" s="683"/>
      <c r="Q117" s="683"/>
      <c r="R117" s="683"/>
      <c r="S117" s="684"/>
    </row>
    <row r="118" spans="2:19" ht="30">
      <c r="B118" s="704"/>
      <c r="C118" s="705" t="s">
        <v>1704</v>
      </c>
      <c r="D118" s="706" t="s">
        <v>1583</v>
      </c>
      <c r="E118" s="707">
        <v>45016</v>
      </c>
      <c r="F118" s="673"/>
      <c r="G118" s="673"/>
      <c r="H118" s="673"/>
      <c r="I118" s="674"/>
      <c r="J118" s="673"/>
      <c r="K118" s="673"/>
      <c r="L118" s="673"/>
      <c r="M118" s="673"/>
      <c r="N118" s="673"/>
      <c r="O118" s="673"/>
      <c r="P118" s="673"/>
      <c r="Q118" s="673"/>
      <c r="R118" s="673"/>
      <c r="S118" s="675"/>
    </row>
    <row r="119" spans="2:19" ht="75">
      <c r="B119" s="704"/>
      <c r="C119" s="705" t="s">
        <v>1705</v>
      </c>
      <c r="D119" s="706" t="s">
        <v>1583</v>
      </c>
      <c r="E119" s="707">
        <v>45016</v>
      </c>
      <c r="F119" s="673"/>
      <c r="G119" s="673"/>
      <c r="H119" s="673"/>
      <c r="I119" s="674"/>
      <c r="J119" s="673"/>
      <c r="K119" s="673"/>
      <c r="L119" s="673"/>
      <c r="M119" s="673"/>
      <c r="N119" s="673"/>
      <c r="O119" s="673"/>
      <c r="P119" s="673"/>
      <c r="Q119" s="673"/>
      <c r="R119" s="673"/>
      <c r="S119" s="675"/>
    </row>
    <row r="120" spans="2:19" ht="45">
      <c r="B120" s="704"/>
      <c r="C120" s="705" t="s">
        <v>1706</v>
      </c>
      <c r="D120" s="706" t="s">
        <v>1583</v>
      </c>
      <c r="E120" s="707">
        <v>45016</v>
      </c>
      <c r="F120" s="673"/>
      <c r="G120" s="673"/>
      <c r="H120" s="673"/>
      <c r="I120" s="674"/>
      <c r="J120" s="673"/>
      <c r="K120" s="673"/>
      <c r="L120" s="673"/>
      <c r="M120" s="673"/>
      <c r="N120" s="673"/>
      <c r="O120" s="673"/>
      <c r="P120" s="673"/>
      <c r="Q120" s="673"/>
      <c r="R120" s="673"/>
      <c r="S120" s="675"/>
    </row>
    <row r="121" spans="2:19" ht="26.25">
      <c r="B121" s="704"/>
      <c r="C121" s="705" t="s">
        <v>1707</v>
      </c>
      <c r="D121" s="706" t="s">
        <v>1583</v>
      </c>
      <c r="E121" s="707">
        <v>45016</v>
      </c>
      <c r="F121" s="673"/>
      <c r="G121" s="673"/>
      <c r="H121" s="673"/>
      <c r="I121" s="674"/>
      <c r="J121" s="673"/>
      <c r="K121" s="673"/>
      <c r="L121" s="673"/>
      <c r="M121" s="673"/>
      <c r="N121" s="673"/>
      <c r="O121" s="673"/>
      <c r="P121" s="673"/>
      <c r="Q121" s="673"/>
      <c r="R121" s="673"/>
      <c r="S121" s="675"/>
    </row>
    <row r="122" spans="2:19" ht="26.25">
      <c r="B122" s="704"/>
      <c r="C122" s="705" t="s">
        <v>1708</v>
      </c>
      <c r="D122" s="706" t="s">
        <v>1583</v>
      </c>
      <c r="E122" s="707">
        <v>45016</v>
      </c>
      <c r="F122" s="673"/>
      <c r="G122" s="673"/>
      <c r="H122" s="673"/>
      <c r="I122" s="674"/>
      <c r="J122" s="673"/>
      <c r="K122" s="673"/>
      <c r="L122" s="673"/>
      <c r="M122" s="673"/>
      <c r="N122" s="673"/>
      <c r="O122" s="673"/>
      <c r="P122" s="673"/>
      <c r="Q122" s="673"/>
      <c r="R122" s="673"/>
      <c r="S122" s="675"/>
    </row>
    <row r="123" spans="2:19" ht="105">
      <c r="B123" s="704"/>
      <c r="C123" s="686" t="s">
        <v>1709</v>
      </c>
      <c r="D123" s="718" t="s">
        <v>1583</v>
      </c>
      <c r="E123" s="719">
        <v>45016</v>
      </c>
      <c r="F123" s="683"/>
      <c r="G123" s="683"/>
      <c r="H123" s="683"/>
      <c r="I123" s="693"/>
      <c r="J123" s="683"/>
      <c r="K123" s="683"/>
      <c r="L123" s="683"/>
      <c r="M123" s="683">
        <v>0.23</v>
      </c>
      <c r="N123" s="683"/>
      <c r="O123" s="683"/>
      <c r="P123" s="683"/>
      <c r="Q123" s="683"/>
      <c r="R123" s="683"/>
      <c r="S123" s="684"/>
    </row>
    <row r="124" spans="2:19" ht="135">
      <c r="B124" s="704"/>
      <c r="C124" s="799" t="s">
        <v>1710</v>
      </c>
      <c r="D124" s="741" t="s">
        <v>1711</v>
      </c>
      <c r="E124" s="740" t="s">
        <v>1712</v>
      </c>
      <c r="F124" s="790" t="s">
        <v>1713</v>
      </c>
      <c r="G124" s="800">
        <v>45505</v>
      </c>
      <c r="H124" s="742"/>
      <c r="I124" s="740"/>
      <c r="J124" s="800">
        <v>45536</v>
      </c>
      <c r="K124" s="742"/>
      <c r="L124" s="800">
        <v>45536</v>
      </c>
      <c r="M124" s="742"/>
      <c r="N124" s="740">
        <v>0.99</v>
      </c>
      <c r="O124" s="673"/>
      <c r="P124" s="673"/>
      <c r="Q124" s="673"/>
      <c r="R124" s="673"/>
      <c r="S124" s="675"/>
    </row>
    <row r="125" spans="2:19" ht="93" customHeight="1">
      <c r="B125" s="801"/>
      <c r="C125" s="802" t="s">
        <v>1714</v>
      </c>
      <c r="D125" s="771"/>
      <c r="E125" s="771"/>
      <c r="F125" s="690" t="s">
        <v>1715</v>
      </c>
      <c r="G125" s="771"/>
      <c r="H125" s="771"/>
      <c r="I125" s="772"/>
      <c r="J125" s="771"/>
      <c r="K125" s="771"/>
      <c r="L125" s="771"/>
      <c r="M125" s="771">
        <v>1</v>
      </c>
      <c r="N125" s="771"/>
      <c r="O125" s="771"/>
      <c r="P125" s="771"/>
      <c r="Q125" s="771"/>
      <c r="R125" s="771"/>
      <c r="S125" s="773"/>
    </row>
    <row r="126" spans="2:19" ht="57.75">
      <c r="B126" s="801"/>
      <c r="C126" s="803" t="s">
        <v>1716</v>
      </c>
      <c r="D126" s="771"/>
      <c r="E126" s="771"/>
      <c r="F126" s="804"/>
      <c r="G126" s="771"/>
      <c r="H126" s="771"/>
      <c r="I126" s="772"/>
      <c r="J126" s="771"/>
      <c r="K126" s="771"/>
      <c r="L126" s="771"/>
      <c r="M126" s="771">
        <v>0.1</v>
      </c>
      <c r="N126" s="771"/>
      <c r="O126" s="771"/>
      <c r="P126" s="771"/>
      <c r="Q126" s="771"/>
      <c r="R126" s="771"/>
      <c r="S126" s="773"/>
    </row>
    <row r="127" spans="2:19" ht="135.75" thickBot="1">
      <c r="B127" s="805"/>
      <c r="C127" s="806" t="s">
        <v>1717</v>
      </c>
      <c r="D127" s="807"/>
      <c r="E127" s="808"/>
      <c r="F127" s="809"/>
      <c r="G127" s="810"/>
      <c r="H127" s="811"/>
      <c r="I127" s="808"/>
      <c r="J127" s="810"/>
      <c r="K127" s="811"/>
      <c r="L127" s="810"/>
      <c r="M127" s="811">
        <v>0.15</v>
      </c>
      <c r="N127" s="808"/>
      <c r="O127" s="811"/>
      <c r="P127" s="811"/>
      <c r="Q127" s="811"/>
      <c r="R127" s="811"/>
      <c r="S127" s="812"/>
    </row>
    <row r="128" spans="2:19">
      <c r="B128" s="813"/>
      <c r="C128" s="814"/>
      <c r="D128" s="815"/>
      <c r="E128" s="815"/>
      <c r="F128" s="815"/>
      <c r="G128" s="815"/>
      <c r="H128" s="815"/>
      <c r="I128" s="816"/>
      <c r="J128" s="815"/>
      <c r="K128" s="815"/>
      <c r="L128" s="815"/>
      <c r="M128" s="815"/>
      <c r="N128" s="815"/>
      <c r="O128" s="815"/>
      <c r="P128" s="815"/>
      <c r="Q128" s="815"/>
      <c r="R128" s="815"/>
      <c r="S128" s="817"/>
    </row>
    <row r="129" spans="2:19">
      <c r="B129" s="671" t="s">
        <v>70</v>
      </c>
      <c r="C129" s="672"/>
      <c r="D129" s="818"/>
      <c r="E129" s="818"/>
      <c r="F129" s="818"/>
      <c r="G129" s="818"/>
      <c r="H129" s="818"/>
      <c r="I129" s="819"/>
      <c r="J129" s="818"/>
      <c r="K129" s="818"/>
      <c r="L129" s="818"/>
      <c r="M129" s="818"/>
      <c r="N129" s="820"/>
      <c r="O129" s="820"/>
      <c r="P129" s="820"/>
      <c r="Q129" s="820"/>
      <c r="R129" s="820"/>
      <c r="S129" s="821"/>
    </row>
    <row r="130" spans="2:19">
      <c r="B130" s="671" t="s">
        <v>276</v>
      </c>
      <c r="C130" s="672"/>
      <c r="D130" s="818"/>
      <c r="E130" s="818"/>
      <c r="F130" s="818"/>
      <c r="G130" s="818"/>
      <c r="H130" s="818"/>
      <c r="I130" s="819"/>
      <c r="J130" s="818"/>
      <c r="K130" s="818"/>
      <c r="L130" s="818"/>
      <c r="M130" s="818"/>
      <c r="N130" s="820"/>
      <c r="O130" s="820"/>
      <c r="P130" s="820"/>
      <c r="Q130" s="820"/>
      <c r="R130" s="820"/>
      <c r="S130" s="821"/>
    </row>
    <row r="131" spans="2:19">
      <c r="B131" s="676" t="s">
        <v>277</v>
      </c>
      <c r="C131" s="672"/>
      <c r="D131" s="818"/>
      <c r="E131" s="818"/>
      <c r="F131" s="818"/>
      <c r="G131" s="818"/>
      <c r="H131" s="818"/>
      <c r="I131" s="819"/>
      <c r="J131" s="818"/>
      <c r="K131" s="818"/>
      <c r="L131" s="818"/>
      <c r="M131" s="818"/>
      <c r="N131" s="820"/>
      <c r="O131" s="820"/>
      <c r="P131" s="820"/>
      <c r="Q131" s="820"/>
      <c r="R131" s="820"/>
      <c r="S131" s="821"/>
    </row>
    <row r="132" spans="2:19" ht="114">
      <c r="B132" s="685" t="s">
        <v>278</v>
      </c>
      <c r="C132" s="672" t="s">
        <v>1718</v>
      </c>
      <c r="D132" s="792" t="s">
        <v>1671</v>
      </c>
      <c r="E132" s="822">
        <v>45457</v>
      </c>
      <c r="F132" s="823" t="s">
        <v>1647</v>
      </c>
      <c r="G132" s="673"/>
      <c r="H132" s="673"/>
      <c r="I132" s="674"/>
      <c r="J132" s="673"/>
      <c r="K132" s="673"/>
      <c r="L132" s="673"/>
      <c r="M132" s="792" t="s">
        <v>1719</v>
      </c>
      <c r="N132" s="820"/>
      <c r="O132" s="820"/>
      <c r="P132" s="820"/>
      <c r="Q132" s="820"/>
      <c r="R132" s="820"/>
      <c r="S132" s="821"/>
    </row>
    <row r="133" spans="2:19">
      <c r="B133" s="685"/>
      <c r="C133" s="791" t="s">
        <v>1721</v>
      </c>
      <c r="D133" s="818"/>
      <c r="E133" s="818"/>
      <c r="F133" s="673" t="s">
        <v>1722</v>
      </c>
      <c r="G133" s="673"/>
      <c r="H133" s="673"/>
      <c r="I133" s="674"/>
      <c r="J133" s="673"/>
      <c r="K133" s="673"/>
      <c r="L133" s="673"/>
      <c r="M133" s="673"/>
      <c r="N133" s="673" t="s">
        <v>1723</v>
      </c>
      <c r="O133" s="820"/>
      <c r="P133" s="820"/>
      <c r="Q133" s="820"/>
      <c r="R133" s="820"/>
      <c r="S133" s="821"/>
    </row>
    <row r="134" spans="2:19">
      <c r="B134" s="685" t="s">
        <v>278</v>
      </c>
      <c r="C134" s="672"/>
      <c r="D134" s="818"/>
      <c r="E134" s="818"/>
      <c r="F134" s="818"/>
      <c r="G134" s="818"/>
      <c r="H134" s="818"/>
      <c r="I134" s="819"/>
      <c r="J134" s="818"/>
      <c r="K134" s="818"/>
      <c r="L134" s="818"/>
      <c r="M134" s="818"/>
      <c r="N134" s="820"/>
      <c r="O134" s="820"/>
      <c r="P134" s="820"/>
      <c r="Q134" s="820"/>
      <c r="R134" s="820"/>
      <c r="S134" s="821"/>
    </row>
    <row r="135" spans="2:19">
      <c r="B135" s="676" t="s">
        <v>279</v>
      </c>
      <c r="C135" s="672"/>
      <c r="D135" s="818"/>
      <c r="E135" s="818"/>
      <c r="F135" s="818"/>
      <c r="G135" s="818"/>
      <c r="H135" s="818"/>
      <c r="I135" s="819"/>
      <c r="J135" s="818"/>
      <c r="K135" s="818"/>
      <c r="L135" s="818"/>
      <c r="M135" s="818"/>
      <c r="N135" s="820"/>
      <c r="O135" s="820"/>
      <c r="P135" s="820"/>
      <c r="Q135" s="820"/>
      <c r="R135" s="820"/>
      <c r="S135" s="821"/>
    </row>
    <row r="136" spans="2:19" ht="57">
      <c r="B136" s="685" t="s">
        <v>278</v>
      </c>
      <c r="C136" s="672" t="s">
        <v>1724</v>
      </c>
      <c r="D136" s="818"/>
      <c r="E136" s="818"/>
      <c r="F136" s="818"/>
      <c r="G136" s="818"/>
      <c r="H136" s="818"/>
      <c r="I136" s="819"/>
      <c r="J136" s="818"/>
      <c r="K136" s="818"/>
      <c r="L136" s="818"/>
      <c r="M136" s="818"/>
      <c r="N136" s="820"/>
      <c r="O136" s="820"/>
      <c r="P136" s="820"/>
      <c r="Q136" s="820"/>
      <c r="R136" s="820"/>
      <c r="S136" s="821"/>
    </row>
    <row r="137" spans="2:19" ht="99.75">
      <c r="B137" s="685"/>
      <c r="C137" s="672" t="s">
        <v>1725</v>
      </c>
      <c r="D137" s="818"/>
      <c r="E137" s="818"/>
      <c r="F137" s="818"/>
      <c r="G137" s="818"/>
      <c r="H137" s="818"/>
      <c r="I137" s="819"/>
      <c r="J137" s="818"/>
      <c r="K137" s="818"/>
      <c r="L137" s="818"/>
      <c r="M137" s="818"/>
      <c r="N137" s="820"/>
      <c r="O137" s="820"/>
      <c r="P137" s="820"/>
      <c r="Q137" s="820"/>
      <c r="R137" s="820"/>
      <c r="S137" s="821"/>
    </row>
    <row r="138" spans="2:19" ht="128.25">
      <c r="B138" s="685"/>
      <c r="C138" s="672" t="s">
        <v>1726</v>
      </c>
      <c r="D138" s="818"/>
      <c r="E138" s="818"/>
      <c r="F138" s="792" t="s">
        <v>1727</v>
      </c>
      <c r="G138" s="673"/>
      <c r="H138" s="673"/>
      <c r="I138" s="674"/>
      <c r="J138" s="673"/>
      <c r="K138" s="673"/>
      <c r="L138" s="673"/>
      <c r="M138" s="673"/>
      <c r="N138" s="673" t="s">
        <v>1728</v>
      </c>
      <c r="O138" s="820"/>
      <c r="P138" s="820"/>
      <c r="Q138" s="820"/>
      <c r="R138" s="820"/>
      <c r="S138" s="821"/>
    </row>
    <row r="139" spans="2:19" ht="142.5">
      <c r="B139" s="685"/>
      <c r="C139" s="672" t="s">
        <v>1729</v>
      </c>
      <c r="D139" s="818"/>
      <c r="E139" s="818"/>
      <c r="F139" s="818"/>
      <c r="G139" s="818"/>
      <c r="H139" s="818"/>
      <c r="I139" s="819"/>
      <c r="J139" s="818"/>
      <c r="K139" s="818"/>
      <c r="L139" s="818"/>
      <c r="M139" s="818"/>
      <c r="N139" s="820"/>
      <c r="O139" s="820"/>
      <c r="P139" s="820"/>
      <c r="Q139" s="820"/>
      <c r="R139" s="820"/>
      <c r="S139" s="821"/>
    </row>
    <row r="140" spans="2:19" ht="114">
      <c r="B140" s="685"/>
      <c r="C140" s="824" t="s">
        <v>1730</v>
      </c>
      <c r="D140" s="825"/>
      <c r="E140" s="825"/>
      <c r="F140" s="790" t="s">
        <v>1730</v>
      </c>
      <c r="G140" s="800">
        <v>45901</v>
      </c>
      <c r="H140" s="826"/>
      <c r="I140" s="740"/>
      <c r="J140" s="800">
        <v>46023</v>
      </c>
      <c r="K140" s="818"/>
      <c r="L140" s="818"/>
      <c r="M140" s="818"/>
      <c r="N140" s="820"/>
      <c r="O140" s="820"/>
      <c r="P140" s="820"/>
      <c r="Q140" s="820"/>
      <c r="R140" s="820"/>
      <c r="S140" s="821"/>
    </row>
    <row r="141" spans="2:19" ht="342">
      <c r="B141" s="685"/>
      <c r="C141" s="672" t="s">
        <v>1731</v>
      </c>
      <c r="D141" s="742"/>
      <c r="E141" s="742"/>
      <c r="F141" s="827" t="s">
        <v>1731</v>
      </c>
      <c r="G141" s="800">
        <v>45748</v>
      </c>
      <c r="H141" s="742"/>
      <c r="I141" s="740"/>
      <c r="J141" s="800">
        <v>45901</v>
      </c>
      <c r="K141" s="818"/>
      <c r="L141" s="818"/>
      <c r="M141" s="818"/>
      <c r="N141" s="820"/>
      <c r="O141" s="820"/>
      <c r="P141" s="820"/>
      <c r="Q141" s="820"/>
      <c r="R141" s="820"/>
      <c r="S141" s="821"/>
    </row>
    <row r="142" spans="2:19" ht="57">
      <c r="B142" s="685"/>
      <c r="C142" s="672" t="s">
        <v>1732</v>
      </c>
      <c r="D142" s="818"/>
      <c r="E142" s="818"/>
      <c r="F142" s="790" t="s">
        <v>1732</v>
      </c>
      <c r="G142" s="800">
        <v>45870</v>
      </c>
      <c r="H142" s="740"/>
      <c r="I142" s="740"/>
      <c r="J142" s="800">
        <v>46054</v>
      </c>
      <c r="K142" s="818"/>
      <c r="L142" s="818"/>
      <c r="M142" s="818"/>
      <c r="N142" s="820"/>
      <c r="O142" s="820"/>
      <c r="P142" s="820"/>
      <c r="Q142" s="820"/>
      <c r="R142" s="820"/>
      <c r="S142" s="821"/>
    </row>
    <row r="143" spans="2:19" ht="85.5">
      <c r="B143" s="685"/>
      <c r="C143" s="672" t="s">
        <v>1733</v>
      </c>
      <c r="D143" s="818"/>
      <c r="E143" s="818"/>
      <c r="F143" s="818"/>
      <c r="G143" s="818"/>
      <c r="H143" s="818"/>
      <c r="I143" s="819"/>
      <c r="J143" s="818"/>
      <c r="K143" s="818"/>
      <c r="L143" s="818"/>
      <c r="M143" s="818"/>
      <c r="N143" s="820"/>
      <c r="O143" s="820"/>
      <c r="P143" s="820"/>
      <c r="Q143" s="820"/>
      <c r="R143" s="820"/>
      <c r="S143" s="821"/>
    </row>
    <row r="144" spans="2:19" ht="99.75">
      <c r="B144" s="685"/>
      <c r="C144" s="672" t="s">
        <v>1734</v>
      </c>
      <c r="D144" s="818"/>
      <c r="E144" s="818"/>
      <c r="F144" s="818"/>
      <c r="G144" s="818"/>
      <c r="H144" s="818"/>
      <c r="I144" s="819"/>
      <c r="J144" s="818"/>
      <c r="K144" s="818"/>
      <c r="L144" s="818"/>
      <c r="M144" s="818"/>
      <c r="N144" s="820"/>
      <c r="O144" s="820"/>
      <c r="P144" s="820"/>
      <c r="Q144" s="820"/>
      <c r="R144" s="820"/>
      <c r="S144" s="821"/>
    </row>
    <row r="145" spans="2:19" ht="33" customHeight="1">
      <c r="B145" s="685"/>
      <c r="C145" s="672" t="s">
        <v>1735</v>
      </c>
      <c r="D145" s="818"/>
      <c r="E145" s="818"/>
      <c r="F145" s="818"/>
      <c r="G145" s="818"/>
      <c r="H145" s="818"/>
      <c r="I145" s="819"/>
      <c r="J145" s="818"/>
      <c r="K145" s="818"/>
      <c r="L145" s="818"/>
      <c r="M145" s="818"/>
      <c r="N145" s="820"/>
      <c r="O145" s="820"/>
      <c r="P145" s="820"/>
      <c r="Q145" s="820"/>
      <c r="R145" s="820"/>
      <c r="S145" s="821"/>
    </row>
    <row r="146" spans="2:19" ht="51" customHeight="1">
      <c r="B146" s="685"/>
      <c r="C146" s="828" t="s">
        <v>1736</v>
      </c>
      <c r="D146" s="829"/>
      <c r="E146" s="829"/>
      <c r="F146" s="827" t="s">
        <v>1737</v>
      </c>
      <c r="G146" s="829"/>
      <c r="H146" s="829"/>
      <c r="I146" s="830"/>
      <c r="J146" s="829"/>
      <c r="K146" s="829"/>
      <c r="L146" s="829"/>
      <c r="M146" s="829">
        <v>1</v>
      </c>
      <c r="N146" s="820"/>
      <c r="O146" s="820"/>
      <c r="P146" s="820"/>
      <c r="Q146" s="820"/>
      <c r="R146" s="820"/>
      <c r="S146" s="831"/>
    </row>
    <row r="147" spans="2:19" ht="57">
      <c r="B147" s="685"/>
      <c r="C147" s="672" t="s">
        <v>1738</v>
      </c>
      <c r="D147" s="818"/>
      <c r="E147" s="818"/>
      <c r="F147" s="818"/>
      <c r="G147" s="818"/>
      <c r="H147" s="818"/>
      <c r="I147" s="819"/>
      <c r="J147" s="818"/>
      <c r="K147" s="818"/>
      <c r="L147" s="818"/>
      <c r="M147" s="818"/>
      <c r="N147" s="820"/>
      <c r="O147" s="820"/>
      <c r="P147" s="820"/>
      <c r="Q147" s="820"/>
      <c r="R147" s="820"/>
      <c r="S147" s="821"/>
    </row>
    <row r="148" spans="2:19" ht="213.75">
      <c r="B148" s="685"/>
      <c r="C148" s="672" t="s">
        <v>1720</v>
      </c>
      <c r="D148" s="818"/>
      <c r="E148" s="818"/>
      <c r="F148" s="818"/>
      <c r="G148" s="818"/>
      <c r="H148" s="818"/>
      <c r="I148" s="819"/>
      <c r="J148" s="818"/>
      <c r="K148" s="818"/>
      <c r="L148" s="818"/>
      <c r="M148" s="818"/>
      <c r="N148" s="820"/>
      <c r="O148" s="820"/>
      <c r="P148" s="820"/>
      <c r="Q148" s="820"/>
      <c r="R148" s="820"/>
      <c r="S148" s="821"/>
    </row>
    <row r="149" spans="2:19">
      <c r="B149" s="685" t="s">
        <v>278</v>
      </c>
      <c r="C149" s="672"/>
      <c r="D149" s="818"/>
      <c r="E149" s="818"/>
      <c r="F149" s="818"/>
      <c r="G149" s="818"/>
      <c r="H149" s="818"/>
      <c r="I149" s="819"/>
      <c r="J149" s="818"/>
      <c r="K149" s="818"/>
      <c r="L149" s="818"/>
      <c r="M149" s="818"/>
      <c r="N149" s="820"/>
      <c r="O149" s="820"/>
      <c r="P149" s="820"/>
      <c r="Q149" s="820"/>
      <c r="R149" s="820"/>
      <c r="S149" s="821"/>
    </row>
    <row r="150" spans="2:19">
      <c r="B150" s="704" t="s">
        <v>280</v>
      </c>
      <c r="C150" s="672"/>
      <c r="D150" s="818"/>
      <c r="E150" s="818"/>
      <c r="F150" s="818"/>
      <c r="G150" s="818"/>
      <c r="H150" s="818"/>
      <c r="I150" s="819"/>
      <c r="J150" s="818"/>
      <c r="K150" s="818"/>
      <c r="L150" s="818"/>
      <c r="M150" s="818"/>
      <c r="N150" s="820"/>
      <c r="O150" s="820"/>
      <c r="P150" s="820"/>
      <c r="Q150" s="820"/>
      <c r="R150" s="820"/>
      <c r="S150" s="821"/>
    </row>
    <row r="151" spans="2:19" ht="42.75">
      <c r="B151" s="685" t="s">
        <v>278</v>
      </c>
      <c r="C151" s="672" t="s">
        <v>1739</v>
      </c>
      <c r="D151" s="673"/>
      <c r="E151" s="673"/>
      <c r="F151" s="673"/>
      <c r="G151" s="673"/>
      <c r="H151" s="673"/>
      <c r="I151" s="674"/>
      <c r="J151" s="673"/>
      <c r="K151" s="673"/>
      <c r="L151" s="673"/>
      <c r="M151" s="673"/>
      <c r="N151" s="832"/>
      <c r="O151" s="832"/>
      <c r="P151" s="832"/>
      <c r="Q151" s="832"/>
      <c r="R151" s="832"/>
      <c r="S151" s="675"/>
    </row>
    <row r="152" spans="2:19" ht="57">
      <c r="B152" s="685" t="s">
        <v>278</v>
      </c>
      <c r="C152" s="672" t="s">
        <v>1740</v>
      </c>
      <c r="D152" s="673"/>
      <c r="E152" s="673"/>
      <c r="F152" s="673"/>
      <c r="G152" s="673"/>
      <c r="H152" s="673"/>
      <c r="I152" s="674"/>
      <c r="J152" s="673"/>
      <c r="K152" s="673"/>
      <c r="L152" s="673"/>
      <c r="M152" s="673"/>
      <c r="N152" s="832"/>
      <c r="O152" s="832"/>
      <c r="P152" s="832"/>
      <c r="Q152" s="832"/>
      <c r="R152" s="832"/>
      <c r="S152" s="675"/>
    </row>
    <row r="153" spans="2:19" ht="71.25">
      <c r="B153" s="685"/>
      <c r="C153" s="672" t="s">
        <v>1741</v>
      </c>
      <c r="D153" s="673"/>
      <c r="E153" s="673"/>
      <c r="F153" s="673"/>
      <c r="G153" s="673"/>
      <c r="H153" s="673"/>
      <c r="I153" s="674"/>
      <c r="J153" s="673"/>
      <c r="K153" s="673"/>
      <c r="L153" s="673"/>
      <c r="M153" s="673"/>
      <c r="N153" s="832"/>
      <c r="O153" s="832"/>
      <c r="P153" s="832"/>
      <c r="Q153" s="832"/>
      <c r="R153" s="832"/>
      <c r="S153" s="675"/>
    </row>
    <row r="154" spans="2:19" ht="57">
      <c r="B154" s="685"/>
      <c r="C154" s="672" t="s">
        <v>1742</v>
      </c>
      <c r="D154" s="673"/>
      <c r="E154" s="673"/>
      <c r="F154" s="673"/>
      <c r="G154" s="673"/>
      <c r="H154" s="673"/>
      <c r="I154" s="674"/>
      <c r="J154" s="673"/>
      <c r="K154" s="673"/>
      <c r="L154" s="673"/>
      <c r="M154" s="673"/>
      <c r="N154" s="832"/>
      <c r="O154" s="832"/>
      <c r="P154" s="832"/>
      <c r="Q154" s="832"/>
      <c r="R154" s="832"/>
      <c r="S154" s="675"/>
    </row>
    <row r="155" spans="2:19" ht="42.75">
      <c r="B155" s="685"/>
      <c r="C155" s="672" t="s">
        <v>1743</v>
      </c>
      <c r="D155" s="673"/>
      <c r="E155" s="673"/>
      <c r="F155" s="673"/>
      <c r="G155" s="673"/>
      <c r="H155" s="673"/>
      <c r="I155" s="674"/>
      <c r="J155" s="673"/>
      <c r="K155" s="673"/>
      <c r="L155" s="673"/>
      <c r="M155" s="673"/>
      <c r="N155" s="832"/>
      <c r="O155" s="832"/>
      <c r="P155" s="832"/>
      <c r="Q155" s="832"/>
      <c r="R155" s="832"/>
      <c r="S155" s="675"/>
    </row>
    <row r="156" spans="2:19" ht="156.75">
      <c r="B156" s="685"/>
      <c r="C156" s="672" t="s">
        <v>1744</v>
      </c>
      <c r="D156" s="673"/>
      <c r="E156" s="673"/>
      <c r="F156" s="673"/>
      <c r="G156" s="673"/>
      <c r="H156" s="673"/>
      <c r="I156" s="674"/>
      <c r="J156" s="673"/>
      <c r="K156" s="673"/>
      <c r="L156" s="673"/>
      <c r="M156" s="673"/>
      <c r="N156" s="832"/>
      <c r="O156" s="832"/>
      <c r="P156" s="832"/>
      <c r="Q156" s="832"/>
      <c r="R156" s="832"/>
      <c r="S156" s="675"/>
    </row>
    <row r="157" spans="2:19" ht="114">
      <c r="B157" s="685"/>
      <c r="C157" s="672" t="s">
        <v>1745</v>
      </c>
      <c r="D157" s="673"/>
      <c r="E157" s="673"/>
      <c r="F157" s="833" t="s">
        <v>1745</v>
      </c>
      <c r="G157" s="800">
        <v>45778</v>
      </c>
      <c r="H157" s="740"/>
      <c r="I157" s="740"/>
      <c r="J157" s="800">
        <v>45931</v>
      </c>
      <c r="K157" s="673"/>
      <c r="L157" s="673"/>
      <c r="M157" s="673"/>
      <c r="N157" s="832"/>
      <c r="O157" s="832"/>
      <c r="P157" s="832"/>
      <c r="Q157" s="832"/>
      <c r="R157" s="832"/>
      <c r="S157" s="675"/>
    </row>
    <row r="158" spans="2:19" ht="128.25">
      <c r="B158" s="685"/>
      <c r="C158" s="672" t="s">
        <v>1746</v>
      </c>
      <c r="D158" s="673"/>
      <c r="E158" s="673"/>
      <c r="F158" s="833" t="s">
        <v>1746</v>
      </c>
      <c r="G158" s="800">
        <v>45778</v>
      </c>
      <c r="H158" s="740"/>
      <c r="I158" s="740"/>
      <c r="J158" s="800">
        <v>45931</v>
      </c>
      <c r="K158" s="673"/>
      <c r="L158" s="673"/>
      <c r="M158" s="673"/>
      <c r="N158" s="832"/>
      <c r="O158" s="832"/>
      <c r="P158" s="832"/>
      <c r="Q158" s="832"/>
      <c r="R158" s="832"/>
      <c r="S158" s="675"/>
    </row>
    <row r="159" spans="2:19" ht="142.5">
      <c r="B159" s="685"/>
      <c r="C159" s="672" t="s">
        <v>1747</v>
      </c>
      <c r="D159" s="673"/>
      <c r="E159" s="673"/>
      <c r="F159" s="673"/>
      <c r="G159" s="673"/>
      <c r="H159" s="673"/>
      <c r="I159" s="674"/>
      <c r="J159" s="673"/>
      <c r="K159" s="673"/>
      <c r="L159" s="673"/>
      <c r="M159" s="673"/>
      <c r="N159" s="832"/>
      <c r="O159" s="832"/>
      <c r="P159" s="832"/>
      <c r="Q159" s="832"/>
      <c r="R159" s="832"/>
      <c r="S159" s="675"/>
    </row>
    <row r="160" spans="2:19" ht="57">
      <c r="B160" s="685"/>
      <c r="C160" s="672" t="s">
        <v>1748</v>
      </c>
      <c r="D160" s="673"/>
      <c r="E160" s="673"/>
      <c r="F160" s="673"/>
      <c r="G160" s="673"/>
      <c r="H160" s="673"/>
      <c r="I160" s="674"/>
      <c r="J160" s="673"/>
      <c r="K160" s="673"/>
      <c r="L160" s="673"/>
      <c r="M160" s="673"/>
      <c r="N160" s="832"/>
      <c r="O160" s="832"/>
      <c r="P160" s="832"/>
      <c r="Q160" s="832"/>
      <c r="R160" s="832"/>
      <c r="S160" s="675"/>
    </row>
    <row r="161" spans="2:19" ht="42.75">
      <c r="B161" s="685"/>
      <c r="C161" s="672" t="s">
        <v>1749</v>
      </c>
      <c r="D161" s="673"/>
      <c r="E161" s="673"/>
      <c r="F161" s="673"/>
      <c r="G161" s="673"/>
      <c r="H161" s="673"/>
      <c r="I161" s="674"/>
      <c r="J161" s="673"/>
      <c r="K161" s="673"/>
      <c r="L161" s="673"/>
      <c r="M161" s="673"/>
      <c r="N161" s="832"/>
      <c r="O161" s="832"/>
      <c r="P161" s="832"/>
      <c r="Q161" s="832"/>
      <c r="R161" s="832"/>
      <c r="S161" s="675"/>
    </row>
    <row r="162" spans="2:19" ht="42.75">
      <c r="B162" s="685"/>
      <c r="C162" s="672" t="s">
        <v>1750</v>
      </c>
      <c r="D162" s="673"/>
      <c r="E162" s="673"/>
      <c r="F162" s="673"/>
      <c r="G162" s="673"/>
      <c r="H162" s="673"/>
      <c r="I162" s="674"/>
      <c r="J162" s="673"/>
      <c r="K162" s="673"/>
      <c r="L162" s="673"/>
      <c r="M162" s="673"/>
      <c r="N162" s="832"/>
      <c r="O162" s="832"/>
      <c r="P162" s="832"/>
      <c r="Q162" s="832"/>
      <c r="R162" s="832"/>
      <c r="S162" s="675"/>
    </row>
    <row r="163" spans="2:19" ht="128.25">
      <c r="B163" s="685"/>
      <c r="C163" s="672" t="s">
        <v>1717</v>
      </c>
      <c r="D163" s="673"/>
      <c r="E163" s="673"/>
      <c r="F163" s="673"/>
      <c r="G163" s="673"/>
      <c r="H163" s="673"/>
      <c r="I163" s="674"/>
      <c r="J163" s="673"/>
      <c r="K163" s="673"/>
      <c r="L163" s="673"/>
      <c r="M163" s="673"/>
      <c r="N163" s="832"/>
      <c r="O163" s="832"/>
      <c r="P163" s="832"/>
      <c r="Q163" s="832"/>
      <c r="R163" s="832"/>
      <c r="S163" s="675"/>
    </row>
    <row r="164" spans="2:19" ht="42.75">
      <c r="B164" s="685"/>
      <c r="C164" s="672" t="s">
        <v>1751</v>
      </c>
      <c r="D164" s="673"/>
      <c r="E164" s="673"/>
      <c r="F164" s="673"/>
      <c r="G164" s="673"/>
      <c r="H164" s="673"/>
      <c r="I164" s="674"/>
      <c r="J164" s="673"/>
      <c r="K164" s="673"/>
      <c r="L164" s="673"/>
      <c r="M164" s="673"/>
      <c r="N164" s="832"/>
      <c r="O164" s="832"/>
      <c r="P164" s="832"/>
      <c r="Q164" s="832"/>
      <c r="R164" s="832"/>
      <c r="S164" s="675"/>
    </row>
    <row r="165" spans="2:19" ht="57">
      <c r="B165" s="685"/>
      <c r="C165" s="672" t="s">
        <v>1752</v>
      </c>
      <c r="D165" s="673"/>
      <c r="E165" s="673"/>
      <c r="F165" s="673"/>
      <c r="G165" s="673"/>
      <c r="H165" s="673"/>
      <c r="I165" s="674"/>
      <c r="J165" s="673"/>
      <c r="K165" s="673"/>
      <c r="L165" s="673"/>
      <c r="M165" s="673"/>
      <c r="N165" s="832"/>
      <c r="O165" s="832"/>
      <c r="P165" s="832"/>
      <c r="Q165" s="832"/>
      <c r="R165" s="832"/>
      <c r="S165" s="675"/>
    </row>
    <row r="166" spans="2:19" ht="105">
      <c r="B166" s="685"/>
      <c r="C166" s="834" t="s">
        <v>1662</v>
      </c>
      <c r="D166" s="826"/>
      <c r="E166" s="826"/>
      <c r="F166" s="834" t="s">
        <v>1662</v>
      </c>
      <c r="G166" s="800">
        <v>45748</v>
      </c>
      <c r="H166" s="740"/>
      <c r="I166" s="740"/>
      <c r="J166" s="800">
        <v>45931</v>
      </c>
      <c r="K166" s="673"/>
      <c r="L166" s="673"/>
      <c r="M166" s="673"/>
      <c r="N166" s="832"/>
      <c r="O166" s="832"/>
      <c r="P166" s="832"/>
      <c r="Q166" s="832"/>
      <c r="R166" s="832"/>
      <c r="S166" s="675"/>
    </row>
    <row r="167" spans="2:19">
      <c r="B167" s="685"/>
      <c r="C167" s="672"/>
      <c r="D167" s="673"/>
      <c r="E167" s="673"/>
      <c r="F167" s="673"/>
      <c r="G167" s="673"/>
      <c r="H167" s="673"/>
      <c r="I167" s="674"/>
      <c r="J167" s="673"/>
      <c r="K167" s="673"/>
      <c r="L167" s="673"/>
      <c r="M167" s="673"/>
      <c r="N167" s="832"/>
      <c r="O167" s="832"/>
      <c r="P167" s="832"/>
      <c r="Q167" s="832"/>
      <c r="R167" s="832"/>
      <c r="S167" s="675"/>
    </row>
    <row r="168" spans="2:19" ht="15.75" thickBot="1">
      <c r="B168" s="748"/>
      <c r="C168" s="749"/>
      <c r="D168" s="750"/>
      <c r="E168" s="750"/>
      <c r="F168" s="750"/>
      <c r="G168" s="750"/>
      <c r="H168" s="750"/>
      <c r="I168" s="752"/>
      <c r="J168" s="750"/>
      <c r="K168" s="750"/>
      <c r="L168" s="750"/>
      <c r="M168" s="750"/>
      <c r="N168" s="835"/>
      <c r="O168" s="835"/>
      <c r="P168" s="835"/>
      <c r="Q168" s="835"/>
      <c r="R168" s="835"/>
      <c r="S168" s="754"/>
    </row>
    <row r="169" spans="2:19">
      <c r="B169" s="836"/>
      <c r="C169" s="701"/>
      <c r="D169" s="668"/>
      <c r="E169" s="668"/>
      <c r="F169" s="668"/>
      <c r="G169" s="668"/>
      <c r="H169" s="668"/>
      <c r="I169" s="669"/>
      <c r="J169" s="668"/>
      <c r="K169" s="668"/>
      <c r="L169" s="668"/>
      <c r="M169" s="668"/>
      <c r="N169" s="837"/>
      <c r="O169" s="837"/>
      <c r="P169" s="837"/>
      <c r="Q169" s="837"/>
      <c r="R169" s="837"/>
      <c r="S169" s="703"/>
    </row>
    <row r="170" spans="2:19">
      <c r="B170" s="671" t="s">
        <v>71</v>
      </c>
      <c r="C170" s="672"/>
      <c r="D170" s="673"/>
      <c r="E170" s="673"/>
      <c r="F170" s="673"/>
      <c r="G170" s="673"/>
      <c r="H170" s="673"/>
      <c r="I170" s="674"/>
      <c r="J170" s="673"/>
      <c r="K170" s="673"/>
      <c r="L170" s="673"/>
      <c r="M170" s="673"/>
      <c r="N170" s="832"/>
      <c r="O170" s="832"/>
      <c r="P170" s="832"/>
      <c r="Q170" s="832"/>
      <c r="R170" s="832"/>
      <c r="S170" s="675"/>
    </row>
    <row r="171" spans="2:19">
      <c r="B171" s="671" t="s">
        <v>276</v>
      </c>
      <c r="C171" s="672"/>
      <c r="D171" s="673"/>
      <c r="E171" s="673"/>
      <c r="F171" s="673"/>
      <c r="G171" s="673"/>
      <c r="H171" s="673"/>
      <c r="I171" s="674"/>
      <c r="J171" s="673"/>
      <c r="K171" s="673"/>
      <c r="L171" s="673"/>
      <c r="M171" s="673"/>
      <c r="N171" s="832"/>
      <c r="O171" s="832"/>
      <c r="P171" s="832"/>
      <c r="Q171" s="832"/>
      <c r="R171" s="832"/>
      <c r="S171" s="675"/>
    </row>
    <row r="172" spans="2:19">
      <c r="B172" s="676" t="s">
        <v>277</v>
      </c>
      <c r="C172" s="672"/>
      <c r="D172" s="673"/>
      <c r="E172" s="673"/>
      <c r="F172" s="673"/>
      <c r="G172" s="673"/>
      <c r="H172" s="673"/>
      <c r="I172" s="674"/>
      <c r="J172" s="673"/>
      <c r="K172" s="673"/>
      <c r="L172" s="673"/>
      <c r="M172" s="673"/>
      <c r="N172" s="832"/>
      <c r="O172" s="832"/>
      <c r="P172" s="832"/>
      <c r="Q172" s="832"/>
      <c r="R172" s="832"/>
      <c r="S172" s="675"/>
    </row>
    <row r="173" spans="2:19" ht="90">
      <c r="B173" s="676"/>
      <c r="C173" s="791" t="s">
        <v>1721</v>
      </c>
      <c r="D173" s="673"/>
      <c r="E173" s="673"/>
      <c r="F173" s="792" t="s">
        <v>1754</v>
      </c>
      <c r="G173" s="673"/>
      <c r="H173" s="673"/>
      <c r="I173" s="674"/>
      <c r="J173" s="673"/>
      <c r="K173" s="673"/>
      <c r="L173" s="673"/>
      <c r="M173" s="673"/>
      <c r="N173" s="673" t="s">
        <v>1755</v>
      </c>
      <c r="O173" s="832"/>
      <c r="P173" s="832"/>
      <c r="Q173" s="832"/>
      <c r="R173" s="832"/>
      <c r="S173" s="675"/>
    </row>
    <row r="174" spans="2:19" ht="60">
      <c r="B174" s="685" t="s">
        <v>278</v>
      </c>
      <c r="C174" s="791" t="s">
        <v>1756</v>
      </c>
      <c r="D174" s="673"/>
      <c r="E174" s="673"/>
      <c r="F174" s="792" t="s">
        <v>1757</v>
      </c>
      <c r="G174" s="673"/>
      <c r="H174" s="673"/>
      <c r="I174" s="674"/>
      <c r="J174" s="673"/>
      <c r="K174" s="673"/>
      <c r="L174" s="673"/>
      <c r="M174" s="673"/>
      <c r="N174" s="673" t="s">
        <v>1758</v>
      </c>
      <c r="O174" s="832"/>
      <c r="P174" s="832"/>
      <c r="Q174" s="832"/>
      <c r="R174" s="832"/>
      <c r="S174" s="675"/>
    </row>
    <row r="175" spans="2:19">
      <c r="B175" s="685" t="s">
        <v>278</v>
      </c>
      <c r="C175" s="672"/>
      <c r="D175" s="673"/>
      <c r="E175" s="673"/>
      <c r="F175" s="673"/>
      <c r="G175" s="673"/>
      <c r="H175" s="673"/>
      <c r="I175" s="674"/>
      <c r="J175" s="673"/>
      <c r="K175" s="673"/>
      <c r="L175" s="673"/>
      <c r="M175" s="673"/>
      <c r="N175" s="832"/>
      <c r="O175" s="832"/>
      <c r="P175" s="832"/>
      <c r="Q175" s="832"/>
      <c r="R175" s="832"/>
      <c r="S175" s="675"/>
    </row>
    <row r="176" spans="2:19">
      <c r="B176" s="676" t="s">
        <v>279</v>
      </c>
      <c r="C176" s="672"/>
      <c r="D176" s="673"/>
      <c r="E176" s="673"/>
      <c r="F176" s="673"/>
      <c r="G176" s="673"/>
      <c r="H176" s="673"/>
      <c r="I176" s="674"/>
      <c r="J176" s="673"/>
      <c r="K176" s="673"/>
      <c r="L176" s="673"/>
      <c r="M176" s="673"/>
      <c r="N176" s="832"/>
      <c r="O176" s="832"/>
      <c r="P176" s="832"/>
      <c r="Q176" s="832"/>
      <c r="R176" s="832"/>
      <c r="S176" s="675"/>
    </row>
    <row r="177" spans="2:19" ht="156.75">
      <c r="B177" s="676"/>
      <c r="C177" s="672" t="s">
        <v>1759</v>
      </c>
      <c r="D177" s="673"/>
      <c r="E177" s="673"/>
      <c r="F177" s="673"/>
      <c r="G177" s="673"/>
      <c r="H177" s="673"/>
      <c r="I177" s="674"/>
      <c r="J177" s="673"/>
      <c r="K177" s="673"/>
      <c r="L177" s="673"/>
      <c r="M177" s="673"/>
      <c r="N177" s="832"/>
      <c r="O177" s="832"/>
      <c r="P177" s="832"/>
      <c r="Q177" s="832"/>
      <c r="R177" s="832"/>
      <c r="S177" s="675"/>
    </row>
    <row r="178" spans="2:19" ht="57">
      <c r="B178" s="676"/>
      <c r="C178" s="672" t="s">
        <v>1724</v>
      </c>
      <c r="D178" s="673"/>
      <c r="E178" s="673"/>
      <c r="F178" s="673"/>
      <c r="G178" s="673"/>
      <c r="H178" s="673"/>
      <c r="I178" s="674"/>
      <c r="J178" s="673"/>
      <c r="K178" s="673"/>
      <c r="L178" s="673"/>
      <c r="M178" s="673"/>
      <c r="N178" s="832"/>
      <c r="O178" s="832"/>
      <c r="P178" s="832"/>
      <c r="Q178" s="832"/>
      <c r="R178" s="832"/>
      <c r="S178" s="675"/>
    </row>
    <row r="179" spans="2:19" ht="99.75">
      <c r="B179" s="676"/>
      <c r="C179" s="672" t="s">
        <v>1760</v>
      </c>
      <c r="D179" s="673"/>
      <c r="E179" s="673"/>
      <c r="F179" s="673"/>
      <c r="G179" s="673"/>
      <c r="H179" s="673"/>
      <c r="I179" s="674"/>
      <c r="J179" s="673"/>
      <c r="K179" s="673"/>
      <c r="L179" s="673"/>
      <c r="M179" s="673"/>
      <c r="N179" s="832"/>
      <c r="O179" s="832"/>
      <c r="P179" s="832"/>
      <c r="Q179" s="832"/>
      <c r="R179" s="832"/>
      <c r="S179" s="675"/>
    </row>
    <row r="180" spans="2:19" ht="57">
      <c r="B180" s="676"/>
      <c r="C180" s="672" t="s">
        <v>1724</v>
      </c>
      <c r="D180" s="673"/>
      <c r="E180" s="673"/>
      <c r="F180" s="673"/>
      <c r="G180" s="673"/>
      <c r="H180" s="673"/>
      <c r="I180" s="674"/>
      <c r="J180" s="673"/>
      <c r="K180" s="673"/>
      <c r="L180" s="673"/>
      <c r="M180" s="673"/>
      <c r="N180" s="832"/>
      <c r="O180" s="832"/>
      <c r="P180" s="832"/>
      <c r="Q180" s="832"/>
      <c r="R180" s="832"/>
      <c r="S180" s="675"/>
    </row>
    <row r="181" spans="2:19" ht="57">
      <c r="B181" s="676"/>
      <c r="C181" s="672" t="s">
        <v>1761</v>
      </c>
      <c r="D181" s="673"/>
      <c r="E181" s="673"/>
      <c r="F181" s="673"/>
      <c r="G181" s="673"/>
      <c r="H181" s="673"/>
      <c r="I181" s="674"/>
      <c r="J181" s="673"/>
      <c r="K181" s="673"/>
      <c r="L181" s="673"/>
      <c r="M181" s="673"/>
      <c r="N181" s="832"/>
      <c r="O181" s="832"/>
      <c r="P181" s="832"/>
      <c r="Q181" s="832"/>
      <c r="R181" s="832"/>
      <c r="S181" s="675"/>
    </row>
    <row r="182" spans="2:19" ht="128.25">
      <c r="B182" s="676"/>
      <c r="C182" s="672" t="s">
        <v>1762</v>
      </c>
      <c r="D182" s="673"/>
      <c r="E182" s="673"/>
      <c r="F182" s="673"/>
      <c r="G182" s="673"/>
      <c r="H182" s="673"/>
      <c r="I182" s="674"/>
      <c r="J182" s="673"/>
      <c r="K182" s="673"/>
      <c r="L182" s="673"/>
      <c r="M182" s="673"/>
      <c r="N182" s="832"/>
      <c r="O182" s="832"/>
      <c r="P182" s="832"/>
      <c r="Q182" s="832"/>
      <c r="R182" s="832"/>
      <c r="S182" s="675"/>
    </row>
    <row r="183" spans="2:19" ht="142.5">
      <c r="B183" s="676"/>
      <c r="C183" s="672" t="s">
        <v>1763</v>
      </c>
      <c r="D183" s="673"/>
      <c r="E183" s="673"/>
      <c r="F183" s="673"/>
      <c r="G183" s="673"/>
      <c r="H183" s="673"/>
      <c r="I183" s="674"/>
      <c r="J183" s="673"/>
      <c r="K183" s="673"/>
      <c r="L183" s="673"/>
      <c r="M183" s="673"/>
      <c r="N183" s="832"/>
      <c r="O183" s="832"/>
      <c r="P183" s="832"/>
      <c r="Q183" s="832"/>
      <c r="R183" s="832"/>
      <c r="S183" s="675"/>
    </row>
    <row r="184" spans="2:19" ht="114">
      <c r="B184" s="676"/>
      <c r="C184" s="672" t="s">
        <v>1730</v>
      </c>
      <c r="D184" s="673"/>
      <c r="E184" s="673"/>
      <c r="F184" s="827" t="s">
        <v>1730</v>
      </c>
      <c r="G184" s="800">
        <v>46113</v>
      </c>
      <c r="H184" s="740"/>
      <c r="I184" s="740"/>
      <c r="J184" s="800">
        <v>46327</v>
      </c>
      <c r="K184" s="673"/>
      <c r="L184" s="673"/>
      <c r="M184" s="673"/>
      <c r="N184" s="832"/>
      <c r="O184" s="832"/>
      <c r="P184" s="832"/>
      <c r="Q184" s="832"/>
      <c r="R184" s="832"/>
      <c r="S184" s="675"/>
    </row>
    <row r="185" spans="2:19" ht="57">
      <c r="B185" s="676"/>
      <c r="C185" s="672" t="s">
        <v>1732</v>
      </c>
      <c r="D185" s="673"/>
      <c r="E185" s="673"/>
      <c r="F185" s="827" t="s">
        <v>1732</v>
      </c>
      <c r="G185" s="800">
        <v>45536</v>
      </c>
      <c r="H185" s="740"/>
      <c r="I185" s="740"/>
      <c r="J185" s="800">
        <v>46419</v>
      </c>
      <c r="K185" s="673"/>
      <c r="L185" s="673"/>
      <c r="M185" s="673"/>
      <c r="N185" s="832"/>
      <c r="O185" s="832"/>
      <c r="P185" s="832"/>
      <c r="Q185" s="832"/>
      <c r="R185" s="832"/>
      <c r="S185" s="675"/>
    </row>
    <row r="186" spans="2:19" ht="150">
      <c r="B186" s="676"/>
      <c r="C186" s="672" t="s">
        <v>1764</v>
      </c>
      <c r="D186" s="673"/>
      <c r="E186" s="673"/>
      <c r="F186" s="790" t="s">
        <v>1765</v>
      </c>
      <c r="G186" s="838">
        <v>45901</v>
      </c>
      <c r="H186" s="826"/>
      <c r="I186" s="800"/>
      <c r="J186" s="800">
        <v>46113</v>
      </c>
      <c r="K186" s="673"/>
      <c r="L186" s="673"/>
      <c r="M186" s="673"/>
      <c r="N186" s="832"/>
      <c r="O186" s="832"/>
      <c r="P186" s="832"/>
      <c r="Q186" s="832"/>
      <c r="R186" s="832"/>
      <c r="S186" s="675"/>
    </row>
    <row r="187" spans="2:19" ht="99.75">
      <c r="B187" s="676"/>
      <c r="C187" s="672" t="s">
        <v>1734</v>
      </c>
      <c r="D187" s="673"/>
      <c r="E187" s="673"/>
      <c r="F187" s="673"/>
      <c r="G187" s="673"/>
      <c r="H187" s="673"/>
      <c r="I187" s="674"/>
      <c r="J187" s="673"/>
      <c r="K187" s="673"/>
      <c r="L187" s="673"/>
      <c r="M187" s="673"/>
      <c r="N187" s="832"/>
      <c r="O187" s="832"/>
      <c r="P187" s="832"/>
      <c r="Q187" s="832"/>
      <c r="R187" s="832"/>
      <c r="S187" s="675"/>
    </row>
    <row r="188" spans="2:19" ht="128.25">
      <c r="B188" s="676"/>
      <c r="C188" s="672" t="s">
        <v>1766</v>
      </c>
      <c r="D188" s="673"/>
      <c r="E188" s="673"/>
      <c r="F188" s="673"/>
      <c r="G188" s="673"/>
      <c r="H188" s="673"/>
      <c r="I188" s="674"/>
      <c r="J188" s="673"/>
      <c r="K188" s="673"/>
      <c r="L188" s="673"/>
      <c r="M188" s="673"/>
      <c r="N188" s="832"/>
      <c r="O188" s="832"/>
      <c r="P188" s="832"/>
      <c r="Q188" s="832"/>
      <c r="R188" s="832"/>
      <c r="S188" s="675"/>
    </row>
    <row r="189" spans="2:19" ht="99.75">
      <c r="B189" s="685" t="s">
        <v>278</v>
      </c>
      <c r="C189" s="672" t="s">
        <v>1725</v>
      </c>
      <c r="D189" s="673"/>
      <c r="E189" s="673"/>
      <c r="F189" s="673"/>
      <c r="G189" s="673"/>
      <c r="H189" s="673"/>
      <c r="I189" s="674"/>
      <c r="J189" s="673"/>
      <c r="K189" s="673"/>
      <c r="L189" s="673"/>
      <c r="M189" s="673"/>
      <c r="N189" s="832"/>
      <c r="O189" s="832"/>
      <c r="P189" s="832"/>
      <c r="Q189" s="832"/>
      <c r="R189" s="832"/>
      <c r="S189" s="675"/>
    </row>
    <row r="190" spans="2:19" ht="57">
      <c r="B190" s="685" t="s">
        <v>278</v>
      </c>
      <c r="C190" s="672" t="s">
        <v>1738</v>
      </c>
      <c r="D190" s="673"/>
      <c r="E190" s="673"/>
      <c r="F190" s="673"/>
      <c r="G190" s="673"/>
      <c r="H190" s="673"/>
      <c r="I190" s="674"/>
      <c r="J190" s="673"/>
      <c r="K190" s="673"/>
      <c r="L190" s="673"/>
      <c r="M190" s="673"/>
      <c r="N190" s="832"/>
      <c r="O190" s="832"/>
      <c r="P190" s="832"/>
      <c r="Q190" s="832"/>
      <c r="R190" s="832"/>
      <c r="S190" s="675"/>
    </row>
    <row r="191" spans="2:19" ht="69.95" customHeight="1">
      <c r="B191" s="676"/>
      <c r="C191" s="672" t="s">
        <v>1753</v>
      </c>
      <c r="D191" s="673"/>
      <c r="E191" s="673"/>
      <c r="F191" s="673"/>
      <c r="G191" s="673"/>
      <c r="H191" s="673"/>
      <c r="I191" s="674"/>
      <c r="J191" s="673"/>
      <c r="K191" s="673"/>
      <c r="L191" s="673"/>
      <c r="M191" s="673"/>
      <c r="N191" s="832"/>
      <c r="O191" s="832"/>
      <c r="P191" s="832"/>
      <c r="Q191" s="832"/>
      <c r="R191" s="832"/>
      <c r="S191" s="675"/>
    </row>
    <row r="192" spans="2:19">
      <c r="B192" s="685"/>
      <c r="C192" s="672"/>
      <c r="D192" s="673"/>
      <c r="E192" s="673"/>
      <c r="F192" s="673"/>
      <c r="G192" s="673"/>
      <c r="H192" s="673"/>
      <c r="I192" s="674"/>
      <c r="J192" s="673"/>
      <c r="K192" s="673"/>
      <c r="L192" s="673"/>
      <c r="M192" s="673"/>
      <c r="N192" s="832"/>
      <c r="O192" s="832"/>
      <c r="P192" s="832"/>
      <c r="Q192" s="832"/>
      <c r="R192" s="832"/>
      <c r="S192" s="675"/>
    </row>
    <row r="193" spans="2:19">
      <c r="B193" s="704" t="s">
        <v>280</v>
      </c>
      <c r="C193" s="672"/>
      <c r="D193" s="673"/>
      <c r="E193" s="673"/>
      <c r="F193" s="673"/>
      <c r="G193" s="673"/>
      <c r="H193" s="673"/>
      <c r="I193" s="674"/>
      <c r="J193" s="673"/>
      <c r="K193" s="673"/>
      <c r="L193" s="673"/>
      <c r="M193" s="673"/>
      <c r="N193" s="832"/>
      <c r="O193" s="832"/>
      <c r="P193" s="832"/>
      <c r="Q193" s="832"/>
      <c r="R193" s="832"/>
      <c r="S193" s="675"/>
    </row>
    <row r="194" spans="2:19" ht="42.75">
      <c r="B194" s="704"/>
      <c r="C194" s="672" t="s">
        <v>1739</v>
      </c>
      <c r="D194" s="673"/>
      <c r="E194" s="673"/>
      <c r="F194" s="673"/>
      <c r="G194" s="673"/>
      <c r="H194" s="673"/>
      <c r="I194" s="674"/>
      <c r="J194" s="673"/>
      <c r="K194" s="673"/>
      <c r="L194" s="673"/>
      <c r="M194" s="673"/>
      <c r="N194" s="832"/>
      <c r="O194" s="832"/>
      <c r="P194" s="832"/>
      <c r="Q194" s="832"/>
      <c r="R194" s="832"/>
      <c r="S194" s="675"/>
    </row>
    <row r="195" spans="2:19" ht="57">
      <c r="B195" s="676"/>
      <c r="C195" s="672" t="s">
        <v>1748</v>
      </c>
      <c r="D195" s="673"/>
      <c r="E195" s="673"/>
      <c r="F195" s="673"/>
      <c r="G195" s="673"/>
      <c r="H195" s="673"/>
      <c r="I195" s="674"/>
      <c r="J195" s="673"/>
      <c r="K195" s="673"/>
      <c r="L195" s="673"/>
      <c r="M195" s="673"/>
      <c r="N195" s="832"/>
      <c r="O195" s="832"/>
      <c r="P195" s="832"/>
      <c r="Q195" s="832"/>
      <c r="R195" s="832"/>
      <c r="S195" s="675"/>
    </row>
    <row r="196" spans="2:19" ht="57">
      <c r="B196" s="704"/>
      <c r="C196" s="672" t="s">
        <v>1767</v>
      </c>
      <c r="D196" s="673"/>
      <c r="E196" s="673"/>
      <c r="F196" s="673"/>
      <c r="G196" s="673"/>
      <c r="H196" s="673"/>
      <c r="I196" s="674"/>
      <c r="J196" s="673"/>
      <c r="K196" s="673"/>
      <c r="L196" s="673"/>
      <c r="M196" s="673"/>
      <c r="N196" s="832"/>
      <c r="O196" s="832"/>
      <c r="P196" s="832"/>
      <c r="Q196" s="832"/>
      <c r="R196" s="832"/>
      <c r="S196" s="675"/>
    </row>
    <row r="197" spans="2:19" ht="42.75">
      <c r="B197" s="704"/>
      <c r="C197" s="143" t="s">
        <v>1768</v>
      </c>
      <c r="D197" s="673"/>
      <c r="E197" s="673"/>
      <c r="F197" s="673"/>
      <c r="G197" s="673"/>
      <c r="H197" s="673"/>
      <c r="I197" s="674"/>
      <c r="J197" s="673"/>
      <c r="K197" s="673"/>
      <c r="L197" s="673"/>
      <c r="M197" s="673"/>
      <c r="N197" s="832"/>
      <c r="O197" s="832"/>
      <c r="P197" s="832"/>
      <c r="Q197" s="832"/>
      <c r="R197" s="832"/>
      <c r="S197" s="675"/>
    </row>
    <row r="198" spans="2:19" ht="42.75">
      <c r="B198" s="704"/>
      <c r="C198" s="672" t="s">
        <v>1769</v>
      </c>
      <c r="D198" s="673"/>
      <c r="E198" s="673"/>
      <c r="F198" s="673"/>
      <c r="G198" s="673"/>
      <c r="H198" s="673"/>
      <c r="I198" s="674"/>
      <c r="J198" s="673"/>
      <c r="K198" s="673"/>
      <c r="L198" s="673"/>
      <c r="M198" s="673"/>
      <c r="N198" s="832"/>
      <c r="O198" s="832"/>
      <c r="P198" s="832"/>
      <c r="Q198" s="832"/>
      <c r="R198" s="832"/>
      <c r="S198" s="675"/>
    </row>
    <row r="199" spans="2:19" ht="42.75">
      <c r="B199" s="704"/>
      <c r="C199" s="672" t="s">
        <v>1770</v>
      </c>
      <c r="D199" s="673"/>
      <c r="E199" s="673"/>
      <c r="F199" s="673"/>
      <c r="G199" s="673"/>
      <c r="H199" s="673"/>
      <c r="I199" s="674"/>
      <c r="J199" s="673"/>
      <c r="K199" s="673"/>
      <c r="L199" s="673"/>
      <c r="M199" s="673"/>
      <c r="N199" s="832"/>
      <c r="O199" s="832"/>
      <c r="P199" s="832"/>
      <c r="Q199" s="832"/>
      <c r="R199" s="832"/>
      <c r="S199" s="675"/>
    </row>
    <row r="200" spans="2:19" ht="156.75">
      <c r="B200" s="704"/>
      <c r="C200" s="672" t="s">
        <v>1744</v>
      </c>
      <c r="D200" s="673"/>
      <c r="E200" s="673"/>
      <c r="F200" s="673"/>
      <c r="G200" s="673"/>
      <c r="H200" s="673"/>
      <c r="I200" s="674"/>
      <c r="J200" s="673"/>
      <c r="K200" s="673"/>
      <c r="L200" s="673"/>
      <c r="M200" s="673"/>
      <c r="N200" s="832"/>
      <c r="O200" s="832"/>
      <c r="P200" s="832"/>
      <c r="Q200" s="832"/>
      <c r="R200" s="832"/>
      <c r="S200" s="675"/>
    </row>
    <row r="201" spans="2:19" ht="57">
      <c r="B201" s="704"/>
      <c r="C201" s="672" t="s">
        <v>1771</v>
      </c>
      <c r="D201" s="673"/>
      <c r="E201" s="673"/>
      <c r="F201" s="673"/>
      <c r="G201" s="673"/>
      <c r="H201" s="673"/>
      <c r="I201" s="674"/>
      <c r="J201" s="673"/>
      <c r="K201" s="673"/>
      <c r="L201" s="673"/>
      <c r="M201" s="673"/>
      <c r="N201" s="832"/>
      <c r="O201" s="832"/>
      <c r="P201" s="832"/>
      <c r="Q201" s="832"/>
      <c r="R201" s="832"/>
      <c r="S201" s="675"/>
    </row>
    <row r="202" spans="2:19" ht="171">
      <c r="B202" s="704"/>
      <c r="C202" s="672" t="s">
        <v>1772</v>
      </c>
      <c r="D202" s="673"/>
      <c r="E202" s="673"/>
      <c r="F202" s="673"/>
      <c r="G202" s="673"/>
      <c r="H202" s="673"/>
      <c r="I202" s="674"/>
      <c r="J202" s="673"/>
      <c r="K202" s="673"/>
      <c r="L202" s="673"/>
      <c r="M202" s="673"/>
      <c r="N202" s="832"/>
      <c r="O202" s="832"/>
      <c r="P202" s="832"/>
      <c r="Q202" s="832"/>
      <c r="R202" s="832"/>
      <c r="S202" s="675"/>
    </row>
    <row r="203" spans="2:19" ht="114">
      <c r="B203" s="704"/>
      <c r="C203" s="143" t="s">
        <v>1745</v>
      </c>
      <c r="D203" s="673"/>
      <c r="E203" s="673"/>
      <c r="F203" s="839" t="s">
        <v>1745</v>
      </c>
      <c r="G203" s="800">
        <v>46113</v>
      </c>
      <c r="H203" s="826"/>
      <c r="I203" s="740"/>
      <c r="J203" s="800">
        <v>46266</v>
      </c>
      <c r="K203" s="673"/>
      <c r="L203" s="673"/>
      <c r="M203" s="673"/>
      <c r="N203" s="832"/>
      <c r="O203" s="832"/>
      <c r="P203" s="832"/>
      <c r="Q203" s="832"/>
      <c r="R203" s="832"/>
      <c r="S203" s="675"/>
    </row>
    <row r="204" spans="2:19" ht="34.5" customHeight="1">
      <c r="B204" s="704"/>
      <c r="C204" s="672" t="s">
        <v>1746</v>
      </c>
      <c r="D204" s="673"/>
      <c r="E204" s="673"/>
      <c r="F204" s="673"/>
      <c r="G204" s="673"/>
      <c r="H204" s="673"/>
      <c r="I204" s="674"/>
      <c r="J204" s="673"/>
      <c r="K204" s="673"/>
      <c r="L204" s="673"/>
      <c r="M204" s="673"/>
      <c r="N204" s="832"/>
      <c r="O204" s="832"/>
      <c r="P204" s="832"/>
      <c r="Q204" s="832"/>
      <c r="R204" s="832"/>
      <c r="S204" s="675"/>
    </row>
    <row r="205" spans="2:19" ht="156.75">
      <c r="B205" s="704"/>
      <c r="C205" s="672" t="s">
        <v>1773</v>
      </c>
      <c r="D205" s="673"/>
      <c r="E205" s="673"/>
      <c r="F205" s="790" t="s">
        <v>1773</v>
      </c>
      <c r="G205" s="800">
        <v>46266</v>
      </c>
      <c r="H205" s="740"/>
      <c r="I205" s="740"/>
      <c r="J205" s="800">
        <v>46357</v>
      </c>
      <c r="K205" s="673"/>
      <c r="L205" s="673"/>
      <c r="M205" s="673"/>
      <c r="N205" s="832"/>
      <c r="O205" s="832"/>
      <c r="P205" s="832"/>
      <c r="Q205" s="832"/>
      <c r="R205" s="832"/>
      <c r="S205" s="675"/>
    </row>
    <row r="206" spans="2:19" ht="142.5">
      <c r="B206" s="704"/>
      <c r="C206" s="143" t="s">
        <v>1747</v>
      </c>
      <c r="D206" s="673"/>
      <c r="E206" s="673"/>
      <c r="F206" s="673"/>
      <c r="G206" s="673"/>
      <c r="H206" s="673"/>
      <c r="I206" s="674"/>
      <c r="J206" s="673"/>
      <c r="K206" s="673"/>
      <c r="L206" s="673"/>
      <c r="M206" s="673"/>
      <c r="N206" s="832"/>
      <c r="O206" s="832"/>
      <c r="P206" s="832"/>
      <c r="Q206" s="832"/>
      <c r="R206" s="832"/>
      <c r="S206" s="675"/>
    </row>
    <row r="207" spans="2:19" ht="42.75">
      <c r="B207" s="704"/>
      <c r="C207" s="672" t="s">
        <v>1749</v>
      </c>
      <c r="D207" s="673"/>
      <c r="E207" s="673"/>
      <c r="F207" s="673"/>
      <c r="G207" s="673"/>
      <c r="H207" s="673"/>
      <c r="I207" s="674"/>
      <c r="J207" s="673"/>
      <c r="K207" s="673"/>
      <c r="L207" s="673"/>
      <c r="M207" s="673"/>
      <c r="N207" s="832"/>
      <c r="O207" s="832"/>
      <c r="P207" s="832"/>
      <c r="Q207" s="832"/>
      <c r="R207" s="832"/>
      <c r="S207" s="675"/>
    </row>
    <row r="208" spans="2:19" ht="128.25">
      <c r="B208" s="704"/>
      <c r="C208" s="672" t="s">
        <v>1774</v>
      </c>
      <c r="D208" s="673"/>
      <c r="E208" s="673"/>
      <c r="F208" s="673"/>
      <c r="G208" s="673"/>
      <c r="H208" s="673"/>
      <c r="I208" s="674"/>
      <c r="J208" s="673"/>
      <c r="K208" s="673"/>
      <c r="L208" s="673"/>
      <c r="M208" s="673"/>
      <c r="N208" s="832"/>
      <c r="O208" s="832"/>
      <c r="P208" s="832"/>
      <c r="Q208" s="832"/>
      <c r="R208" s="832"/>
      <c r="S208" s="675"/>
    </row>
    <row r="209" spans="2:19" ht="42.75">
      <c r="B209" s="685" t="s">
        <v>278</v>
      </c>
      <c r="C209" s="672" t="s">
        <v>1775</v>
      </c>
      <c r="D209" s="673"/>
      <c r="E209" s="673"/>
      <c r="F209" s="673"/>
      <c r="G209" s="673"/>
      <c r="H209" s="673"/>
      <c r="I209" s="674"/>
      <c r="J209" s="673"/>
      <c r="K209" s="673"/>
      <c r="L209" s="673"/>
      <c r="M209" s="673"/>
      <c r="N209" s="832"/>
      <c r="O209" s="832"/>
      <c r="P209" s="832"/>
      <c r="Q209" s="832"/>
      <c r="R209" s="832"/>
      <c r="S209" s="675"/>
    </row>
    <row r="210" spans="2:19" ht="60">
      <c r="B210" s="695"/>
      <c r="C210" s="791" t="s">
        <v>1776</v>
      </c>
      <c r="D210" s="697"/>
      <c r="E210" s="697"/>
      <c r="F210" s="792" t="s">
        <v>1777</v>
      </c>
      <c r="G210" s="673"/>
      <c r="H210" s="673"/>
      <c r="I210" s="674"/>
      <c r="J210" s="673"/>
      <c r="K210" s="673"/>
      <c r="L210" s="673"/>
      <c r="M210" s="673"/>
      <c r="N210" s="673" t="s">
        <v>1778</v>
      </c>
      <c r="O210" s="840"/>
      <c r="P210" s="840"/>
      <c r="Q210" s="840"/>
      <c r="R210" s="840"/>
      <c r="S210" s="700"/>
    </row>
    <row r="211" spans="2:19" ht="15.75" thickBot="1">
      <c r="B211" s="748" t="s">
        <v>278</v>
      </c>
      <c r="C211" s="749"/>
      <c r="D211" s="750"/>
      <c r="E211" s="750"/>
      <c r="F211" s="750"/>
      <c r="G211" s="750"/>
      <c r="H211" s="750"/>
      <c r="I211" s="752"/>
      <c r="J211" s="750"/>
      <c r="K211" s="750"/>
      <c r="L211" s="750"/>
      <c r="M211" s="750"/>
      <c r="N211" s="835"/>
      <c r="O211" s="835"/>
      <c r="P211" s="835"/>
      <c r="Q211" s="835"/>
      <c r="R211" s="835"/>
      <c r="S211" s="754"/>
    </row>
    <row r="212" spans="2:19">
      <c r="B212" s="836"/>
      <c r="C212" s="701"/>
      <c r="D212" s="668"/>
      <c r="E212" s="668"/>
      <c r="F212" s="668"/>
      <c r="G212" s="668"/>
      <c r="H212" s="668"/>
      <c r="I212" s="669"/>
      <c r="J212" s="668"/>
      <c r="K212" s="668"/>
      <c r="L212" s="668"/>
      <c r="M212" s="668"/>
      <c r="N212" s="837"/>
      <c r="O212" s="837"/>
      <c r="P212" s="837"/>
      <c r="Q212" s="837"/>
      <c r="R212" s="837"/>
      <c r="S212" s="703"/>
    </row>
    <row r="213" spans="2:19">
      <c r="B213" s="671" t="s">
        <v>72</v>
      </c>
      <c r="C213" s="672"/>
      <c r="D213" s="673"/>
      <c r="E213" s="673"/>
      <c r="F213" s="673"/>
      <c r="G213" s="673"/>
      <c r="H213" s="673"/>
      <c r="I213" s="674"/>
      <c r="J213" s="673"/>
      <c r="K213" s="673"/>
      <c r="L213" s="673"/>
      <c r="M213" s="673"/>
      <c r="N213" s="832"/>
      <c r="O213" s="832"/>
      <c r="P213" s="832"/>
      <c r="Q213" s="832"/>
      <c r="R213" s="832"/>
      <c r="S213" s="675"/>
    </row>
    <row r="214" spans="2:19">
      <c r="B214" s="671"/>
      <c r="C214" s="143"/>
      <c r="D214" s="673"/>
      <c r="E214" s="673"/>
      <c r="F214" s="673"/>
      <c r="G214" s="673"/>
      <c r="H214" s="673"/>
      <c r="I214" s="674"/>
      <c r="J214" s="673"/>
      <c r="K214" s="673"/>
      <c r="L214" s="673"/>
      <c r="M214" s="673"/>
      <c r="N214" s="832"/>
      <c r="O214" s="832"/>
      <c r="P214" s="832"/>
      <c r="Q214" s="832"/>
      <c r="R214" s="832"/>
      <c r="S214" s="675"/>
    </row>
    <row r="215" spans="2:19">
      <c r="B215" s="671" t="s">
        <v>1779</v>
      </c>
      <c r="C215" s="143"/>
      <c r="D215" s="673"/>
      <c r="E215" s="673"/>
      <c r="F215" s="673"/>
      <c r="G215" s="673"/>
      <c r="H215" s="673"/>
      <c r="I215" s="674"/>
      <c r="J215" s="673"/>
      <c r="K215" s="673"/>
      <c r="L215" s="673"/>
      <c r="M215" s="673"/>
      <c r="N215" s="832"/>
      <c r="O215" s="832"/>
      <c r="P215" s="832"/>
      <c r="Q215" s="832"/>
      <c r="R215" s="832"/>
      <c r="S215" s="675"/>
    </row>
    <row r="216" spans="2:19" ht="99.75">
      <c r="B216" s="671"/>
      <c r="C216" s="672" t="s">
        <v>1760</v>
      </c>
      <c r="D216" s="673"/>
      <c r="E216" s="673"/>
      <c r="F216" s="673"/>
      <c r="G216" s="673"/>
      <c r="H216" s="673"/>
      <c r="I216" s="674"/>
      <c r="J216" s="673"/>
      <c r="K216" s="673"/>
      <c r="L216" s="673"/>
      <c r="M216" s="673"/>
      <c r="N216" s="832"/>
      <c r="O216" s="832"/>
      <c r="P216" s="832"/>
      <c r="Q216" s="832"/>
      <c r="R216" s="832"/>
      <c r="S216" s="675"/>
    </row>
    <row r="217" spans="2:19" ht="171">
      <c r="B217" s="671"/>
      <c r="C217" s="672" t="s">
        <v>1780</v>
      </c>
      <c r="D217" s="673"/>
      <c r="E217" s="673"/>
      <c r="F217" s="673"/>
      <c r="G217" s="673"/>
      <c r="H217" s="673"/>
      <c r="I217" s="674"/>
      <c r="J217" s="673"/>
      <c r="K217" s="673"/>
      <c r="L217" s="673"/>
      <c r="M217" s="673"/>
      <c r="N217" s="832"/>
      <c r="O217" s="832"/>
      <c r="P217" s="832"/>
      <c r="Q217" s="832"/>
      <c r="R217" s="832"/>
      <c r="S217" s="675"/>
    </row>
    <row r="218" spans="2:19" ht="57">
      <c r="B218" s="671"/>
      <c r="C218" s="672" t="s">
        <v>1781</v>
      </c>
      <c r="D218" s="673"/>
      <c r="E218" s="673"/>
      <c r="F218" s="673"/>
      <c r="G218" s="673"/>
      <c r="H218" s="673"/>
      <c r="I218" s="674"/>
      <c r="J218" s="673"/>
      <c r="K218" s="673"/>
      <c r="L218" s="673"/>
      <c r="M218" s="673"/>
      <c r="N218" s="832"/>
      <c r="O218" s="832"/>
      <c r="P218" s="832"/>
      <c r="Q218" s="832"/>
      <c r="R218" s="832"/>
      <c r="S218" s="675"/>
    </row>
    <row r="219" spans="2:19" ht="57">
      <c r="B219" s="671"/>
      <c r="C219" s="672" t="s">
        <v>1761</v>
      </c>
      <c r="D219" s="673"/>
      <c r="E219" s="673"/>
      <c r="F219" s="673"/>
      <c r="G219" s="673"/>
      <c r="H219" s="673"/>
      <c r="I219" s="674"/>
      <c r="J219" s="673"/>
      <c r="K219" s="673"/>
      <c r="L219" s="673"/>
      <c r="M219" s="673"/>
      <c r="N219" s="832"/>
      <c r="O219" s="832"/>
      <c r="P219" s="832"/>
      <c r="Q219" s="832"/>
      <c r="R219" s="832"/>
      <c r="S219" s="675"/>
    </row>
    <row r="220" spans="2:19" ht="142.5">
      <c r="B220" s="671"/>
      <c r="C220" s="672" t="s">
        <v>1782</v>
      </c>
      <c r="D220" s="673"/>
      <c r="E220" s="673"/>
      <c r="F220" s="673"/>
      <c r="G220" s="673"/>
      <c r="H220" s="673"/>
      <c r="I220" s="674"/>
      <c r="J220" s="673"/>
      <c r="K220" s="673"/>
      <c r="L220" s="673"/>
      <c r="M220" s="673"/>
      <c r="N220" s="832"/>
      <c r="O220" s="832"/>
      <c r="P220" s="832"/>
      <c r="Q220" s="832"/>
      <c r="R220" s="832"/>
      <c r="S220" s="675"/>
    </row>
    <row r="221" spans="2:19" ht="142.5">
      <c r="B221" s="671"/>
      <c r="C221" s="672" t="s">
        <v>1783</v>
      </c>
      <c r="D221" s="673"/>
      <c r="E221" s="673"/>
      <c r="F221" s="673"/>
      <c r="G221" s="673"/>
      <c r="H221" s="673"/>
      <c r="I221" s="674"/>
      <c r="J221" s="673"/>
      <c r="K221" s="673"/>
      <c r="L221" s="673"/>
      <c r="M221" s="673"/>
      <c r="N221" s="832"/>
      <c r="O221" s="832"/>
      <c r="P221" s="832"/>
      <c r="Q221" s="832"/>
      <c r="R221" s="832"/>
      <c r="S221" s="675"/>
    </row>
    <row r="222" spans="2:19" ht="114">
      <c r="B222" s="671"/>
      <c r="C222" s="672" t="s">
        <v>1730</v>
      </c>
      <c r="D222" s="673"/>
      <c r="E222" s="673"/>
      <c r="F222" s="827" t="s">
        <v>1730</v>
      </c>
      <c r="G222" s="800">
        <v>46600</v>
      </c>
      <c r="H222" s="742"/>
      <c r="I222" s="740"/>
      <c r="J222" s="800">
        <v>46813</v>
      </c>
      <c r="K222" s="673"/>
      <c r="L222" s="673"/>
      <c r="M222" s="673"/>
      <c r="N222" s="832"/>
      <c r="O222" s="832"/>
      <c r="P222" s="832"/>
      <c r="Q222" s="832"/>
      <c r="R222" s="832"/>
      <c r="S222" s="675"/>
    </row>
    <row r="223" spans="2:19" ht="60">
      <c r="B223" s="671"/>
      <c r="C223" s="791" t="s">
        <v>1675</v>
      </c>
      <c r="D223" s="673"/>
      <c r="E223" s="673"/>
      <c r="F223" s="792" t="s">
        <v>1722</v>
      </c>
      <c r="G223" s="673"/>
      <c r="H223" s="673"/>
      <c r="I223" s="674"/>
      <c r="J223" s="673"/>
      <c r="K223" s="673"/>
      <c r="L223" s="673"/>
      <c r="M223" s="673"/>
      <c r="N223" s="673" t="s">
        <v>1784</v>
      </c>
      <c r="O223" s="832"/>
      <c r="P223" s="832"/>
      <c r="Q223" s="832"/>
      <c r="R223" s="832"/>
      <c r="S223" s="675"/>
    </row>
    <row r="224" spans="2:19" ht="60">
      <c r="B224" s="671"/>
      <c r="C224" s="791" t="s">
        <v>1678</v>
      </c>
      <c r="D224" s="673"/>
      <c r="E224" s="673"/>
      <c r="F224" s="792" t="s">
        <v>1757</v>
      </c>
      <c r="G224" s="673"/>
      <c r="H224" s="673"/>
      <c r="I224" s="674"/>
      <c r="J224" s="673"/>
      <c r="K224" s="673"/>
      <c r="L224" s="673"/>
      <c r="M224" s="673"/>
      <c r="N224" s="673" t="s">
        <v>1785</v>
      </c>
      <c r="O224" s="832"/>
      <c r="P224" s="832"/>
      <c r="Q224" s="832"/>
      <c r="R224" s="832"/>
      <c r="S224" s="675"/>
    </row>
    <row r="225" spans="2:19" ht="99.75">
      <c r="B225" s="671"/>
      <c r="C225" s="672" t="s">
        <v>1725</v>
      </c>
      <c r="D225" s="673"/>
      <c r="E225" s="673"/>
      <c r="F225" s="792"/>
      <c r="G225" s="673"/>
      <c r="H225" s="673"/>
      <c r="I225" s="674"/>
      <c r="J225" s="673"/>
      <c r="K225" s="673"/>
      <c r="L225" s="673"/>
      <c r="M225" s="673"/>
      <c r="N225" s="673"/>
      <c r="O225" s="832"/>
      <c r="P225" s="832"/>
      <c r="Q225" s="832"/>
      <c r="R225" s="832"/>
      <c r="S225" s="675"/>
    </row>
    <row r="226" spans="2:19">
      <c r="B226" s="671" t="s">
        <v>1786</v>
      </c>
      <c r="C226" s="672"/>
      <c r="D226" s="673"/>
      <c r="E226" s="673"/>
      <c r="F226" s="673"/>
      <c r="G226" s="673"/>
      <c r="H226" s="673"/>
      <c r="I226" s="674"/>
      <c r="J226" s="673"/>
      <c r="K226" s="673"/>
      <c r="L226" s="673"/>
      <c r="M226" s="673"/>
      <c r="N226" s="832"/>
      <c r="O226" s="832"/>
      <c r="P226" s="832"/>
      <c r="Q226" s="832"/>
      <c r="R226" s="832"/>
      <c r="S226" s="675"/>
    </row>
    <row r="227" spans="2:19" ht="42.75">
      <c r="B227" s="671"/>
      <c r="C227" s="672" t="s">
        <v>1739</v>
      </c>
      <c r="D227" s="673"/>
      <c r="E227" s="673"/>
      <c r="F227" s="673"/>
      <c r="G227" s="673"/>
      <c r="H227" s="673"/>
      <c r="I227" s="674"/>
      <c r="J227" s="673"/>
      <c r="K227" s="673"/>
      <c r="L227" s="673"/>
      <c r="M227" s="673"/>
      <c r="N227" s="832"/>
      <c r="O227" s="832"/>
      <c r="P227" s="832"/>
      <c r="Q227" s="832"/>
      <c r="R227" s="832"/>
      <c r="S227" s="675"/>
    </row>
    <row r="228" spans="2:19" ht="57">
      <c r="B228" s="671"/>
      <c r="C228" s="672" t="s">
        <v>1740</v>
      </c>
      <c r="D228" s="673"/>
      <c r="E228" s="673"/>
      <c r="F228" s="673"/>
      <c r="G228" s="673"/>
      <c r="H228" s="673"/>
      <c r="I228" s="674"/>
      <c r="J228" s="673"/>
      <c r="K228" s="673"/>
      <c r="L228" s="673"/>
      <c r="M228" s="673"/>
      <c r="N228" s="832"/>
      <c r="O228" s="832"/>
      <c r="P228" s="832"/>
      <c r="Q228" s="832"/>
      <c r="R228" s="832"/>
      <c r="S228" s="675"/>
    </row>
    <row r="229" spans="2:19" ht="71.25">
      <c r="B229" s="671"/>
      <c r="C229" s="672" t="s">
        <v>1787</v>
      </c>
      <c r="D229" s="673"/>
      <c r="E229" s="673"/>
      <c r="F229" s="673"/>
      <c r="G229" s="673"/>
      <c r="H229" s="673"/>
      <c r="I229" s="674"/>
      <c r="J229" s="673"/>
      <c r="K229" s="673"/>
      <c r="L229" s="673"/>
      <c r="M229" s="673"/>
      <c r="N229" s="832"/>
      <c r="O229" s="832"/>
      <c r="P229" s="832"/>
      <c r="Q229" s="832"/>
      <c r="R229" s="832"/>
      <c r="S229" s="675"/>
    </row>
    <row r="230" spans="2:19" ht="42.75">
      <c r="B230" s="671"/>
      <c r="C230" s="672" t="s">
        <v>1788</v>
      </c>
      <c r="D230" s="673"/>
      <c r="E230" s="673"/>
      <c r="F230" s="673"/>
      <c r="G230" s="673"/>
      <c r="H230" s="673"/>
      <c r="I230" s="674"/>
      <c r="J230" s="673"/>
      <c r="K230" s="673"/>
      <c r="L230" s="673"/>
      <c r="M230" s="673"/>
      <c r="N230" s="832"/>
      <c r="O230" s="832"/>
      <c r="P230" s="832"/>
      <c r="Q230" s="832"/>
      <c r="R230" s="832"/>
      <c r="S230" s="675"/>
    </row>
    <row r="231" spans="2:19" ht="156.75">
      <c r="B231" s="671"/>
      <c r="C231" s="672" t="s">
        <v>1789</v>
      </c>
      <c r="D231" s="673"/>
      <c r="E231" s="673"/>
      <c r="F231" s="673"/>
      <c r="G231" s="673"/>
      <c r="H231" s="673"/>
      <c r="I231" s="674"/>
      <c r="J231" s="673"/>
      <c r="K231" s="673"/>
      <c r="L231" s="673"/>
      <c r="M231" s="673"/>
      <c r="N231" s="832"/>
      <c r="O231" s="832"/>
      <c r="P231" s="832"/>
      <c r="Q231" s="832"/>
      <c r="R231" s="832"/>
      <c r="S231" s="675"/>
    </row>
    <row r="232" spans="2:19" ht="114">
      <c r="B232" s="671"/>
      <c r="C232" s="672" t="s">
        <v>1745</v>
      </c>
      <c r="D232" s="673"/>
      <c r="E232" s="673"/>
      <c r="F232" s="790" t="s">
        <v>1745</v>
      </c>
      <c r="G232" s="800">
        <v>46478</v>
      </c>
      <c r="H232" s="740"/>
      <c r="I232" s="740"/>
      <c r="J232" s="800">
        <v>46661</v>
      </c>
      <c r="K232" s="673"/>
      <c r="L232" s="673"/>
      <c r="M232" s="673"/>
      <c r="N232" s="832"/>
      <c r="O232" s="832"/>
      <c r="P232" s="832"/>
      <c r="Q232" s="832"/>
      <c r="R232" s="832"/>
      <c r="S232" s="675"/>
    </row>
    <row r="233" spans="2:19" ht="128.25">
      <c r="B233" s="671"/>
      <c r="C233" s="672" t="s">
        <v>1746</v>
      </c>
      <c r="D233" s="673"/>
      <c r="E233" s="673"/>
      <c r="F233" s="790" t="s">
        <v>1746</v>
      </c>
      <c r="G233" s="800">
        <v>46478</v>
      </c>
      <c r="H233" s="740"/>
      <c r="I233" s="740"/>
      <c r="J233" s="800">
        <v>46661</v>
      </c>
      <c r="K233" s="673"/>
      <c r="L233" s="673"/>
      <c r="M233" s="673"/>
      <c r="N233" s="832"/>
      <c r="O233" s="832"/>
      <c r="P233" s="832"/>
      <c r="Q233" s="832"/>
      <c r="R233" s="832"/>
      <c r="S233" s="675"/>
    </row>
    <row r="234" spans="2:19" ht="156.75">
      <c r="B234" s="671"/>
      <c r="C234" s="672" t="s">
        <v>1790</v>
      </c>
      <c r="D234" s="673"/>
      <c r="E234" s="673"/>
      <c r="F234" s="827" t="s">
        <v>1790</v>
      </c>
      <c r="G234" s="800">
        <v>46753</v>
      </c>
      <c r="H234" s="740"/>
      <c r="I234" s="740"/>
      <c r="J234" s="800">
        <v>46813</v>
      </c>
      <c r="K234" s="673"/>
      <c r="L234" s="673"/>
      <c r="M234" s="673"/>
      <c r="N234" s="832"/>
      <c r="O234" s="832"/>
      <c r="P234" s="832"/>
      <c r="Q234" s="832"/>
      <c r="R234" s="832"/>
      <c r="S234" s="675"/>
    </row>
    <row r="235" spans="2:19" ht="128.25">
      <c r="B235" s="671"/>
      <c r="C235" s="672" t="s">
        <v>1791</v>
      </c>
      <c r="D235" s="673"/>
      <c r="E235" s="673"/>
      <c r="F235" s="827" t="s">
        <v>1791</v>
      </c>
      <c r="G235" s="800">
        <v>46905</v>
      </c>
      <c r="H235" s="740"/>
      <c r="I235" s="740"/>
      <c r="J235" s="800">
        <v>47088</v>
      </c>
      <c r="K235" s="673"/>
      <c r="L235" s="673"/>
      <c r="M235" s="673"/>
      <c r="N235" s="832"/>
      <c r="O235" s="832"/>
      <c r="P235" s="832"/>
      <c r="Q235" s="832"/>
      <c r="R235" s="832"/>
      <c r="S235" s="675"/>
    </row>
    <row r="236" spans="2:19" ht="142.5">
      <c r="B236" s="671"/>
      <c r="C236" s="672" t="s">
        <v>1747</v>
      </c>
      <c r="D236" s="673"/>
      <c r="E236" s="673"/>
      <c r="F236" s="673"/>
      <c r="G236" s="673"/>
      <c r="H236" s="673"/>
      <c r="I236" s="674"/>
      <c r="J236" s="673"/>
      <c r="K236" s="673"/>
      <c r="L236" s="673"/>
      <c r="M236" s="673"/>
      <c r="N236" s="832"/>
      <c r="O236" s="832"/>
      <c r="P236" s="832"/>
      <c r="Q236" s="832"/>
      <c r="R236" s="832"/>
      <c r="S236" s="675"/>
    </row>
    <row r="237" spans="2:19" ht="57">
      <c r="B237" s="671"/>
      <c r="C237" s="672" t="s">
        <v>1748</v>
      </c>
      <c r="D237" s="673"/>
      <c r="E237" s="673"/>
      <c r="F237" s="673"/>
      <c r="G237" s="673"/>
      <c r="H237" s="673"/>
      <c r="I237" s="674"/>
      <c r="J237" s="673"/>
      <c r="K237" s="673"/>
      <c r="L237" s="673"/>
      <c r="M237" s="673"/>
      <c r="N237" s="832"/>
      <c r="O237" s="832"/>
      <c r="P237" s="832"/>
      <c r="Q237" s="832"/>
      <c r="R237" s="832"/>
      <c r="S237" s="675"/>
    </row>
    <row r="238" spans="2:19" ht="42.75">
      <c r="B238" s="685" t="s">
        <v>278</v>
      </c>
      <c r="C238" s="672" t="s">
        <v>1792</v>
      </c>
      <c r="D238" s="673"/>
      <c r="E238" s="673"/>
      <c r="F238" s="673"/>
      <c r="G238" s="673"/>
      <c r="H238" s="673"/>
      <c r="I238" s="674"/>
      <c r="J238" s="673"/>
      <c r="K238" s="673"/>
      <c r="L238" s="673"/>
      <c r="M238" s="673"/>
      <c r="N238" s="832"/>
      <c r="O238" s="832"/>
      <c r="P238" s="832"/>
      <c r="Q238" s="832"/>
      <c r="R238" s="832"/>
      <c r="S238" s="675"/>
    </row>
    <row r="239" spans="2:19" ht="42.75">
      <c r="B239" s="685"/>
      <c r="C239" s="672" t="s">
        <v>1750</v>
      </c>
      <c r="D239" s="673"/>
      <c r="E239" s="673"/>
      <c r="F239" s="673"/>
      <c r="G239" s="673"/>
      <c r="H239" s="673"/>
      <c r="I239" s="674"/>
      <c r="J239" s="673"/>
      <c r="K239" s="673"/>
      <c r="L239" s="673"/>
      <c r="M239" s="673"/>
      <c r="N239" s="832"/>
      <c r="O239" s="832"/>
      <c r="P239" s="832"/>
      <c r="Q239" s="832"/>
      <c r="R239" s="832"/>
      <c r="S239" s="675"/>
    </row>
    <row r="240" spans="2:19" ht="128.25">
      <c r="B240" s="685"/>
      <c r="C240" s="672" t="s">
        <v>1774</v>
      </c>
      <c r="D240" s="673"/>
      <c r="E240" s="673"/>
      <c r="F240" s="673"/>
      <c r="G240" s="673"/>
      <c r="H240" s="673"/>
      <c r="I240" s="674"/>
      <c r="J240" s="673"/>
      <c r="K240" s="673"/>
      <c r="L240" s="673"/>
      <c r="M240" s="673"/>
      <c r="N240" s="832"/>
      <c r="O240" s="832"/>
      <c r="P240" s="832"/>
      <c r="Q240" s="832"/>
      <c r="R240" s="832"/>
      <c r="S240" s="675"/>
    </row>
    <row r="241" spans="2:19" ht="42.75">
      <c r="B241" s="685"/>
      <c r="C241" s="672" t="s">
        <v>1775</v>
      </c>
      <c r="D241" s="673"/>
      <c r="E241" s="673"/>
      <c r="F241" s="673"/>
      <c r="G241" s="673"/>
      <c r="H241" s="673"/>
      <c r="I241" s="674"/>
      <c r="J241" s="673"/>
      <c r="K241" s="673"/>
      <c r="L241" s="673"/>
      <c r="M241" s="673"/>
      <c r="N241" s="832"/>
      <c r="O241" s="832"/>
      <c r="P241" s="832"/>
      <c r="Q241" s="832"/>
      <c r="R241" s="832"/>
      <c r="S241" s="675"/>
    </row>
    <row r="242" spans="2:19" ht="15.75" thickBot="1">
      <c r="B242" s="748"/>
      <c r="C242" s="749"/>
      <c r="D242" s="750"/>
      <c r="E242" s="750"/>
      <c r="F242" s="750"/>
      <c r="G242" s="750"/>
      <c r="H242" s="750"/>
      <c r="I242" s="752"/>
      <c r="J242" s="750"/>
      <c r="K242" s="750"/>
      <c r="L242" s="750"/>
      <c r="M242" s="750"/>
      <c r="N242" s="835"/>
      <c r="O242" s="835"/>
      <c r="P242" s="835"/>
      <c r="Q242" s="835"/>
      <c r="R242" s="835"/>
      <c r="S242" s="754"/>
    </row>
    <row r="243" spans="2:19">
      <c r="B243" s="764"/>
      <c r="C243" s="701"/>
      <c r="D243" s="668"/>
      <c r="E243" s="668"/>
      <c r="F243" s="668"/>
      <c r="G243" s="668"/>
      <c r="H243" s="668"/>
      <c r="I243" s="669"/>
      <c r="J243" s="668"/>
      <c r="K243" s="668"/>
      <c r="L243" s="668"/>
      <c r="M243" s="668"/>
      <c r="N243" s="837"/>
      <c r="O243" s="837"/>
      <c r="P243" s="837"/>
      <c r="Q243" s="837"/>
      <c r="R243" s="837"/>
      <c r="S243" s="703"/>
    </row>
    <row r="244" spans="2:19">
      <c r="B244" s="671" t="s">
        <v>73</v>
      </c>
      <c r="C244" s="672"/>
      <c r="D244" s="673"/>
      <c r="E244" s="673"/>
      <c r="F244" s="673"/>
      <c r="G244" s="673"/>
      <c r="H244" s="673"/>
      <c r="I244" s="674"/>
      <c r="J244" s="673"/>
      <c r="K244" s="673"/>
      <c r="L244" s="673"/>
      <c r="M244" s="673"/>
      <c r="N244" s="832"/>
      <c r="O244" s="832"/>
      <c r="P244" s="832"/>
      <c r="Q244" s="832"/>
      <c r="R244" s="832"/>
      <c r="S244" s="675"/>
    </row>
    <row r="245" spans="2:19">
      <c r="B245" s="671" t="s">
        <v>1779</v>
      </c>
      <c r="C245" s="672"/>
      <c r="D245" s="673"/>
      <c r="E245" s="673"/>
      <c r="F245" s="673"/>
      <c r="G245" s="673"/>
      <c r="H245" s="673"/>
      <c r="I245" s="674"/>
      <c r="J245" s="673"/>
      <c r="K245" s="673"/>
      <c r="L245" s="673"/>
      <c r="M245" s="673"/>
      <c r="N245" s="832"/>
      <c r="O245" s="832"/>
      <c r="P245" s="832"/>
      <c r="Q245" s="832"/>
      <c r="R245" s="832"/>
      <c r="S245" s="675"/>
    </row>
    <row r="246" spans="2:19" ht="171">
      <c r="B246" s="671"/>
      <c r="C246" s="672" t="s">
        <v>1793</v>
      </c>
      <c r="D246" s="673"/>
      <c r="E246" s="673"/>
      <c r="F246" s="673"/>
      <c r="G246" s="673"/>
      <c r="H246" s="673"/>
      <c r="I246" s="674"/>
      <c r="J246" s="673"/>
      <c r="K246" s="673"/>
      <c r="L246" s="673"/>
      <c r="M246" s="673"/>
      <c r="N246" s="832"/>
      <c r="O246" s="832"/>
      <c r="P246" s="832"/>
      <c r="Q246" s="832"/>
      <c r="R246" s="832"/>
      <c r="S246" s="675"/>
    </row>
    <row r="247" spans="2:19" ht="57">
      <c r="B247" s="671"/>
      <c r="C247" s="672" t="s">
        <v>1761</v>
      </c>
      <c r="D247" s="673"/>
      <c r="E247" s="673"/>
      <c r="F247" s="673"/>
      <c r="G247" s="673"/>
      <c r="H247" s="673"/>
      <c r="I247" s="674"/>
      <c r="J247" s="673"/>
      <c r="K247" s="673"/>
      <c r="L247" s="673"/>
      <c r="M247" s="673"/>
      <c r="N247" s="832"/>
      <c r="O247" s="832"/>
      <c r="P247" s="832"/>
      <c r="Q247" s="832"/>
      <c r="R247" s="832"/>
      <c r="S247" s="675"/>
    </row>
    <row r="248" spans="2:19" ht="142.5">
      <c r="B248" s="671"/>
      <c r="C248" s="672" t="s">
        <v>1782</v>
      </c>
      <c r="D248" s="673"/>
      <c r="E248" s="673"/>
      <c r="F248" s="673"/>
      <c r="G248" s="673"/>
      <c r="H248" s="673"/>
      <c r="I248" s="674"/>
      <c r="J248" s="673"/>
      <c r="K248" s="673"/>
      <c r="L248" s="673"/>
      <c r="M248" s="673"/>
      <c r="N248" s="832"/>
      <c r="O248" s="832"/>
      <c r="P248" s="832"/>
      <c r="Q248" s="832"/>
      <c r="R248" s="832"/>
      <c r="S248" s="675"/>
    </row>
    <row r="249" spans="2:19" ht="142.5">
      <c r="B249" s="671"/>
      <c r="C249" s="672" t="s">
        <v>1763</v>
      </c>
      <c r="D249" s="673"/>
      <c r="E249" s="673"/>
      <c r="F249" s="673"/>
      <c r="G249" s="673"/>
      <c r="H249" s="673"/>
      <c r="I249" s="674"/>
      <c r="J249" s="673"/>
      <c r="K249" s="673"/>
      <c r="L249" s="673"/>
      <c r="M249" s="673"/>
      <c r="N249" s="832"/>
      <c r="O249" s="832"/>
      <c r="P249" s="832"/>
      <c r="Q249" s="832"/>
      <c r="R249" s="832"/>
      <c r="S249" s="675"/>
    </row>
    <row r="250" spans="2:19" ht="114">
      <c r="B250" s="671"/>
      <c r="C250" s="672" t="s">
        <v>1730</v>
      </c>
      <c r="D250" s="673"/>
      <c r="E250" s="673"/>
      <c r="F250" s="827" t="s">
        <v>1730</v>
      </c>
      <c r="G250" s="800">
        <v>46935</v>
      </c>
      <c r="H250" s="742"/>
      <c r="I250" s="740"/>
      <c r="J250" s="800">
        <v>47150</v>
      </c>
      <c r="K250" s="673"/>
      <c r="L250" s="673"/>
      <c r="M250" s="673"/>
      <c r="N250" s="832"/>
      <c r="O250" s="832"/>
      <c r="P250" s="832"/>
      <c r="Q250" s="832"/>
      <c r="R250" s="832"/>
      <c r="S250" s="675"/>
    </row>
    <row r="251" spans="2:19" ht="60">
      <c r="B251" s="671"/>
      <c r="C251" s="791" t="s">
        <v>1675</v>
      </c>
      <c r="D251" s="673"/>
      <c r="E251" s="673"/>
      <c r="F251" s="792" t="s">
        <v>1722</v>
      </c>
      <c r="G251" s="673"/>
      <c r="H251" s="673"/>
      <c r="I251" s="674"/>
      <c r="J251" s="673"/>
      <c r="K251" s="673"/>
      <c r="L251" s="673"/>
      <c r="M251" s="673"/>
      <c r="N251" s="673" t="s">
        <v>1784</v>
      </c>
      <c r="O251" s="832"/>
      <c r="P251" s="832"/>
      <c r="Q251" s="832"/>
      <c r="R251" s="832"/>
      <c r="S251" s="675"/>
    </row>
    <row r="252" spans="2:19" ht="60">
      <c r="B252" s="671"/>
      <c r="C252" s="791" t="s">
        <v>1678</v>
      </c>
      <c r="D252" s="818"/>
      <c r="E252" s="818"/>
      <c r="F252" s="792" t="s">
        <v>1757</v>
      </c>
      <c r="G252" s="673"/>
      <c r="H252" s="673"/>
      <c r="I252" s="674"/>
      <c r="J252" s="673"/>
      <c r="K252" s="673"/>
      <c r="L252" s="673"/>
      <c r="M252" s="673"/>
      <c r="N252" s="673" t="s">
        <v>1785</v>
      </c>
      <c r="O252" s="832"/>
      <c r="P252" s="832"/>
      <c r="Q252" s="832"/>
      <c r="R252" s="832"/>
      <c r="S252" s="675"/>
    </row>
    <row r="253" spans="2:19">
      <c r="B253" s="671"/>
      <c r="C253" s="143"/>
      <c r="D253" s="673"/>
      <c r="E253" s="673"/>
      <c r="F253" s="673"/>
      <c r="G253" s="673"/>
      <c r="H253" s="673"/>
      <c r="I253" s="674"/>
      <c r="J253" s="673"/>
      <c r="K253" s="673"/>
      <c r="L253" s="673"/>
      <c r="M253" s="673"/>
      <c r="N253" s="832"/>
      <c r="O253" s="832"/>
      <c r="P253" s="832"/>
      <c r="Q253" s="832"/>
      <c r="R253" s="832"/>
      <c r="S253" s="675"/>
    </row>
    <row r="254" spans="2:19">
      <c r="B254" s="671" t="s">
        <v>1786</v>
      </c>
      <c r="C254" s="672"/>
      <c r="D254" s="673"/>
      <c r="E254" s="673"/>
      <c r="F254" s="673"/>
      <c r="G254" s="673"/>
      <c r="H254" s="673"/>
      <c r="I254" s="674"/>
      <c r="J254" s="673"/>
      <c r="K254" s="673"/>
      <c r="L254" s="673"/>
      <c r="M254" s="673"/>
      <c r="N254" s="832"/>
      <c r="O254" s="832"/>
      <c r="P254" s="832"/>
      <c r="Q254" s="832"/>
      <c r="R254" s="832"/>
      <c r="S254" s="675"/>
    </row>
    <row r="255" spans="2:19" ht="42.75">
      <c r="B255" s="671"/>
      <c r="C255" s="672" t="s">
        <v>1739</v>
      </c>
      <c r="D255" s="673"/>
      <c r="E255" s="673"/>
      <c r="F255" s="673"/>
      <c r="G255" s="673"/>
      <c r="H255" s="673"/>
      <c r="I255" s="674"/>
      <c r="J255" s="673"/>
      <c r="K255" s="673"/>
      <c r="L255" s="673"/>
      <c r="M255" s="673"/>
      <c r="N255" s="832"/>
      <c r="O255" s="832"/>
      <c r="P255" s="832"/>
      <c r="Q255" s="832"/>
      <c r="R255" s="832"/>
      <c r="S255" s="675"/>
    </row>
    <row r="256" spans="2:19" ht="57">
      <c r="B256" s="671"/>
      <c r="C256" s="672" t="s">
        <v>1740</v>
      </c>
      <c r="D256" s="673"/>
      <c r="E256" s="673"/>
      <c r="F256" s="673"/>
      <c r="G256" s="673"/>
      <c r="H256" s="673"/>
      <c r="I256" s="674"/>
      <c r="J256" s="673"/>
      <c r="K256" s="673"/>
      <c r="L256" s="673"/>
      <c r="M256" s="673"/>
      <c r="N256" s="832"/>
      <c r="O256" s="832"/>
      <c r="P256" s="832"/>
      <c r="Q256" s="832"/>
      <c r="R256" s="832"/>
      <c r="S256" s="675"/>
    </row>
    <row r="257" spans="2:19" ht="42.75">
      <c r="B257" s="671"/>
      <c r="C257" s="672" t="s">
        <v>1788</v>
      </c>
      <c r="D257" s="673"/>
      <c r="E257" s="673"/>
      <c r="F257" s="673"/>
      <c r="G257" s="673"/>
      <c r="H257" s="673"/>
      <c r="I257" s="674"/>
      <c r="J257" s="673"/>
      <c r="K257" s="673"/>
      <c r="L257" s="673"/>
      <c r="M257" s="673"/>
      <c r="N257" s="832"/>
      <c r="O257" s="832"/>
      <c r="P257" s="832"/>
      <c r="Q257" s="832"/>
      <c r="R257" s="832"/>
      <c r="S257" s="675"/>
    </row>
    <row r="258" spans="2:19" ht="156.75">
      <c r="B258" s="671"/>
      <c r="C258" s="672" t="s">
        <v>1794</v>
      </c>
      <c r="D258" s="673"/>
      <c r="E258" s="673"/>
      <c r="F258" s="827" t="s">
        <v>1794</v>
      </c>
      <c r="G258" s="800">
        <v>46966</v>
      </c>
      <c r="H258" s="742"/>
      <c r="I258" s="740"/>
      <c r="J258" s="800">
        <v>47178</v>
      </c>
      <c r="K258" s="673"/>
      <c r="L258" s="673"/>
      <c r="M258" s="673"/>
      <c r="N258" s="832"/>
      <c r="O258" s="832"/>
      <c r="P258" s="832"/>
      <c r="Q258" s="832"/>
      <c r="R258" s="832"/>
      <c r="S258" s="675"/>
    </row>
    <row r="259" spans="2:19" ht="114">
      <c r="B259" s="671"/>
      <c r="C259" s="672" t="s">
        <v>1745</v>
      </c>
      <c r="D259" s="673"/>
      <c r="E259" s="673"/>
      <c r="F259" s="827" t="s">
        <v>1745</v>
      </c>
      <c r="G259" s="800">
        <v>47119</v>
      </c>
      <c r="H259" s="740"/>
      <c r="I259" s="740"/>
      <c r="J259" s="800">
        <v>47178</v>
      </c>
      <c r="K259" s="673"/>
      <c r="L259" s="673"/>
      <c r="M259" s="673"/>
      <c r="N259" s="832"/>
      <c r="O259" s="832"/>
      <c r="P259" s="832"/>
      <c r="Q259" s="832"/>
      <c r="R259" s="832"/>
      <c r="S259" s="675"/>
    </row>
    <row r="260" spans="2:19" ht="128.25">
      <c r="B260" s="671"/>
      <c r="C260" s="672" t="s">
        <v>1746</v>
      </c>
      <c r="D260" s="673"/>
      <c r="E260" s="673"/>
      <c r="F260" s="827" t="s">
        <v>1746</v>
      </c>
      <c r="G260" s="800">
        <v>47119</v>
      </c>
      <c r="H260" s="740"/>
      <c r="I260" s="740"/>
      <c r="J260" s="800">
        <v>47178</v>
      </c>
      <c r="K260" s="673"/>
      <c r="L260" s="673"/>
      <c r="M260" s="673"/>
      <c r="N260" s="832"/>
      <c r="O260" s="832"/>
      <c r="P260" s="832"/>
      <c r="Q260" s="832"/>
      <c r="R260" s="832"/>
      <c r="S260" s="675"/>
    </row>
    <row r="261" spans="2:19" ht="156.75">
      <c r="B261" s="671"/>
      <c r="C261" s="672" t="s">
        <v>1773</v>
      </c>
      <c r="D261" s="673"/>
      <c r="E261" s="673"/>
      <c r="F261" s="827" t="s">
        <v>1773</v>
      </c>
      <c r="G261" s="800">
        <v>47058</v>
      </c>
      <c r="H261" s="740"/>
      <c r="I261" s="740"/>
      <c r="J261" s="800">
        <v>47119</v>
      </c>
      <c r="K261" s="673"/>
      <c r="L261" s="673"/>
      <c r="M261" s="673"/>
      <c r="N261" s="832"/>
      <c r="O261" s="832"/>
      <c r="P261" s="832"/>
      <c r="Q261" s="832"/>
      <c r="R261" s="832"/>
      <c r="S261" s="675"/>
    </row>
    <row r="262" spans="2:19" ht="128.25">
      <c r="B262" s="671"/>
      <c r="C262" s="672" t="s">
        <v>1791</v>
      </c>
      <c r="D262" s="673"/>
      <c r="E262" s="673"/>
      <c r="F262" s="833" t="s">
        <v>1791</v>
      </c>
      <c r="G262" s="800">
        <v>46905</v>
      </c>
      <c r="H262" s="740"/>
      <c r="I262" s="740"/>
      <c r="J262" s="800">
        <v>46997</v>
      </c>
      <c r="K262" s="673"/>
      <c r="L262" s="673"/>
      <c r="M262" s="673"/>
      <c r="N262" s="832"/>
      <c r="O262" s="832"/>
      <c r="P262" s="832"/>
      <c r="Q262" s="832"/>
      <c r="R262" s="832"/>
      <c r="S262" s="675"/>
    </row>
    <row r="263" spans="2:19" ht="142.5">
      <c r="B263" s="671"/>
      <c r="C263" s="672" t="s">
        <v>1747</v>
      </c>
      <c r="D263" s="673"/>
      <c r="E263" s="673"/>
      <c r="F263" s="673"/>
      <c r="G263" s="673"/>
      <c r="H263" s="673"/>
      <c r="I263" s="674"/>
      <c r="J263" s="673"/>
      <c r="K263" s="673"/>
      <c r="L263" s="673"/>
      <c r="M263" s="673"/>
      <c r="N263" s="832"/>
      <c r="O263" s="832"/>
      <c r="P263" s="832"/>
      <c r="Q263" s="832"/>
      <c r="R263" s="832"/>
      <c r="S263" s="675"/>
    </row>
    <row r="264" spans="2:19" ht="57">
      <c r="B264" s="671"/>
      <c r="C264" s="672" t="s">
        <v>1748</v>
      </c>
      <c r="D264" s="673"/>
      <c r="E264" s="673"/>
      <c r="F264" s="673"/>
      <c r="G264" s="673"/>
      <c r="H264" s="673"/>
      <c r="I264" s="674"/>
      <c r="J264" s="673"/>
      <c r="K264" s="673"/>
      <c r="L264" s="673"/>
      <c r="M264" s="673"/>
      <c r="N264" s="832"/>
      <c r="O264" s="832"/>
      <c r="P264" s="832"/>
      <c r="Q264" s="832"/>
      <c r="R264" s="832"/>
      <c r="S264" s="675"/>
    </row>
    <row r="265" spans="2:19" ht="42.75">
      <c r="B265" s="671"/>
      <c r="C265" s="672" t="s">
        <v>1795</v>
      </c>
      <c r="D265" s="673"/>
      <c r="E265" s="673"/>
      <c r="F265" s="673"/>
      <c r="G265" s="673"/>
      <c r="H265" s="673"/>
      <c r="I265" s="674"/>
      <c r="J265" s="673"/>
      <c r="K265" s="673"/>
      <c r="L265" s="673"/>
      <c r="M265" s="673"/>
      <c r="N265" s="832"/>
      <c r="O265" s="832"/>
      <c r="P265" s="832"/>
      <c r="Q265" s="832"/>
      <c r="R265" s="832"/>
      <c r="S265" s="675"/>
    </row>
    <row r="266" spans="2:19" ht="128.25">
      <c r="B266" s="671"/>
      <c r="C266" s="672" t="s">
        <v>1774</v>
      </c>
      <c r="D266" s="673"/>
      <c r="E266" s="673"/>
      <c r="F266" s="673"/>
      <c r="G266" s="673"/>
      <c r="H266" s="673"/>
      <c r="I266" s="674"/>
      <c r="J266" s="673"/>
      <c r="K266" s="673"/>
      <c r="L266" s="673"/>
      <c r="M266" s="673"/>
      <c r="N266" s="832"/>
      <c r="O266" s="832"/>
      <c r="P266" s="832"/>
      <c r="Q266" s="832"/>
      <c r="R266" s="832"/>
      <c r="S266" s="675"/>
    </row>
    <row r="267" spans="2:19">
      <c r="B267" s="671"/>
      <c r="C267" s="672"/>
      <c r="D267" s="673"/>
      <c r="E267" s="673"/>
      <c r="F267" s="673"/>
      <c r="G267" s="673"/>
      <c r="H267" s="673"/>
      <c r="I267" s="674"/>
      <c r="J267" s="673"/>
      <c r="K267" s="673"/>
      <c r="L267" s="673"/>
      <c r="M267" s="673"/>
      <c r="N267" s="832"/>
      <c r="O267" s="832"/>
      <c r="P267" s="832"/>
      <c r="Q267" s="832"/>
      <c r="R267" s="832"/>
      <c r="S267" s="675"/>
    </row>
    <row r="268" spans="2:19" ht="15.75" thickBot="1">
      <c r="B268" s="841"/>
      <c r="C268" s="749"/>
      <c r="D268" s="750"/>
      <c r="E268" s="750"/>
      <c r="F268" s="750"/>
      <c r="G268" s="750"/>
      <c r="H268" s="750"/>
      <c r="I268" s="752"/>
      <c r="J268" s="750"/>
      <c r="K268" s="750"/>
      <c r="L268" s="750"/>
      <c r="M268" s="750"/>
      <c r="N268" s="835"/>
      <c r="O268" s="835"/>
      <c r="P268" s="835"/>
      <c r="Q268" s="835"/>
      <c r="R268" s="835"/>
      <c r="S268" s="754"/>
    </row>
    <row r="269" spans="2:19">
      <c r="B269" s="842" t="s">
        <v>74</v>
      </c>
      <c r="C269" s="701"/>
      <c r="D269" s="668"/>
      <c r="E269" s="668"/>
      <c r="F269" s="668"/>
      <c r="G269" s="668"/>
      <c r="H269" s="668"/>
      <c r="I269" s="669"/>
      <c r="J269" s="668"/>
      <c r="K269" s="668"/>
      <c r="L269" s="668"/>
      <c r="M269" s="668"/>
      <c r="N269" s="837"/>
      <c r="O269" s="837"/>
      <c r="P269" s="837"/>
      <c r="Q269" s="837"/>
      <c r="R269" s="837"/>
      <c r="S269" s="703"/>
    </row>
    <row r="270" spans="2:19">
      <c r="B270" s="671" t="s">
        <v>1779</v>
      </c>
      <c r="C270" s="672"/>
      <c r="D270" s="673"/>
      <c r="E270" s="673"/>
      <c r="F270" s="673"/>
      <c r="G270" s="673"/>
      <c r="H270" s="673"/>
      <c r="I270" s="674"/>
      <c r="J270" s="673"/>
      <c r="K270" s="673"/>
      <c r="L270" s="673"/>
      <c r="M270" s="673"/>
      <c r="N270" s="832"/>
      <c r="O270" s="832"/>
      <c r="P270" s="832"/>
      <c r="Q270" s="832"/>
      <c r="R270" s="832"/>
      <c r="S270" s="675"/>
    </row>
    <row r="271" spans="2:19" ht="71.25">
      <c r="B271" s="685" t="s">
        <v>278</v>
      </c>
      <c r="C271" s="672" t="s">
        <v>1796</v>
      </c>
      <c r="D271" s="673"/>
      <c r="E271" s="673"/>
      <c r="F271" s="673"/>
      <c r="G271" s="673"/>
      <c r="H271" s="673"/>
      <c r="I271" s="674"/>
      <c r="J271" s="673"/>
      <c r="K271" s="673"/>
      <c r="L271" s="673"/>
      <c r="M271" s="673"/>
      <c r="N271" s="832"/>
      <c r="O271" s="832"/>
      <c r="P271" s="832"/>
      <c r="Q271" s="832"/>
      <c r="R271" s="832"/>
      <c r="S271" s="675"/>
    </row>
    <row r="272" spans="2:19" ht="142.5">
      <c r="B272" s="685"/>
      <c r="C272" s="672" t="s">
        <v>1797</v>
      </c>
      <c r="D272" s="673"/>
      <c r="E272" s="673"/>
      <c r="F272" s="673"/>
      <c r="G272" s="673"/>
      <c r="H272" s="673"/>
      <c r="I272" s="674"/>
      <c r="J272" s="673"/>
      <c r="K272" s="673"/>
      <c r="L272" s="673"/>
      <c r="M272" s="673"/>
      <c r="N272" s="832"/>
      <c r="O272" s="832"/>
      <c r="P272" s="832"/>
      <c r="Q272" s="832"/>
      <c r="R272" s="832"/>
      <c r="S272" s="675"/>
    </row>
    <row r="273" spans="2:19" ht="114">
      <c r="B273" s="685"/>
      <c r="C273" s="672" t="s">
        <v>1730</v>
      </c>
      <c r="D273" s="673"/>
      <c r="E273" s="673"/>
      <c r="F273" s="827" t="s">
        <v>1730</v>
      </c>
      <c r="G273" s="800">
        <v>47300</v>
      </c>
      <c r="H273" s="740"/>
      <c r="I273" s="740"/>
      <c r="J273" s="800">
        <v>47453</v>
      </c>
      <c r="K273" s="673"/>
      <c r="L273" s="673"/>
      <c r="M273" s="673"/>
      <c r="N273" s="832"/>
      <c r="O273" s="832"/>
      <c r="P273" s="832"/>
      <c r="Q273" s="832"/>
      <c r="R273" s="832"/>
      <c r="S273" s="675"/>
    </row>
    <row r="274" spans="2:19" ht="60">
      <c r="B274" s="685"/>
      <c r="C274" s="791" t="s">
        <v>1678</v>
      </c>
      <c r="D274" s="818"/>
      <c r="E274" s="818"/>
      <c r="F274" s="843" t="s">
        <v>1757</v>
      </c>
      <c r="G274" s="673"/>
      <c r="H274" s="673"/>
      <c r="I274" s="674"/>
      <c r="J274" s="673"/>
      <c r="K274" s="673"/>
      <c r="L274" s="673"/>
      <c r="M274" s="673"/>
      <c r="N274" s="673" t="s">
        <v>1758</v>
      </c>
      <c r="O274" s="832"/>
      <c r="P274" s="832"/>
      <c r="Q274" s="832"/>
      <c r="R274" s="832"/>
      <c r="S274" s="675"/>
    </row>
    <row r="275" spans="2:19" ht="142.5">
      <c r="B275" s="685"/>
      <c r="C275" s="672" t="s">
        <v>1782</v>
      </c>
      <c r="D275" s="673"/>
      <c r="E275" s="673"/>
      <c r="F275" s="673"/>
      <c r="G275" s="673"/>
      <c r="H275" s="673"/>
      <c r="I275" s="674"/>
      <c r="J275" s="673"/>
      <c r="K275" s="673"/>
      <c r="L275" s="673"/>
      <c r="M275" s="673"/>
      <c r="N275" s="832"/>
      <c r="O275" s="832"/>
      <c r="P275" s="832"/>
      <c r="Q275" s="832"/>
      <c r="R275" s="832"/>
      <c r="S275" s="675"/>
    </row>
    <row r="276" spans="2:19">
      <c r="B276" s="704" t="s">
        <v>1786</v>
      </c>
      <c r="C276" s="672"/>
      <c r="D276" s="673"/>
      <c r="E276" s="673"/>
      <c r="F276" s="673"/>
      <c r="G276" s="673"/>
      <c r="H276" s="673"/>
      <c r="I276" s="674"/>
      <c r="J276" s="673"/>
      <c r="K276" s="673"/>
      <c r="L276" s="673"/>
      <c r="M276" s="673"/>
      <c r="N276" s="832"/>
      <c r="O276" s="832"/>
      <c r="P276" s="832"/>
      <c r="Q276" s="832"/>
      <c r="R276" s="832"/>
      <c r="S276" s="675"/>
    </row>
    <row r="277" spans="2:19" ht="42.75">
      <c r="B277" s="685"/>
      <c r="C277" s="672" t="s">
        <v>1739</v>
      </c>
      <c r="D277" s="673"/>
      <c r="E277" s="673"/>
      <c r="F277" s="673"/>
      <c r="G277" s="673"/>
      <c r="H277" s="673"/>
      <c r="I277" s="674"/>
      <c r="J277" s="673"/>
      <c r="K277" s="673"/>
      <c r="L277" s="673"/>
      <c r="M277" s="673"/>
      <c r="N277" s="832"/>
      <c r="O277" s="832"/>
      <c r="P277" s="832"/>
      <c r="Q277" s="832"/>
      <c r="R277" s="832"/>
      <c r="S277" s="675"/>
    </row>
    <row r="278" spans="2:19" ht="57">
      <c r="B278" s="685"/>
      <c r="C278" s="672" t="s">
        <v>1740</v>
      </c>
      <c r="D278" s="673"/>
      <c r="E278" s="673"/>
      <c r="F278" s="673"/>
      <c r="G278" s="673"/>
      <c r="H278" s="673"/>
      <c r="I278" s="674"/>
      <c r="J278" s="673"/>
      <c r="K278" s="673"/>
      <c r="L278" s="673"/>
      <c r="M278" s="673"/>
      <c r="N278" s="832"/>
      <c r="O278" s="832"/>
      <c r="P278" s="832"/>
      <c r="Q278" s="832"/>
      <c r="R278" s="832"/>
      <c r="S278" s="675"/>
    </row>
    <row r="279" spans="2:19" ht="42.75">
      <c r="B279" s="685"/>
      <c r="C279" s="672" t="s">
        <v>1788</v>
      </c>
      <c r="D279" s="673"/>
      <c r="E279" s="673"/>
      <c r="F279" s="673"/>
      <c r="G279" s="673"/>
      <c r="H279" s="673"/>
      <c r="I279" s="674"/>
      <c r="J279" s="673"/>
      <c r="K279" s="673"/>
      <c r="L279" s="673"/>
      <c r="M279" s="673"/>
      <c r="N279" s="832"/>
      <c r="O279" s="832"/>
      <c r="P279" s="832"/>
      <c r="Q279" s="832"/>
      <c r="R279" s="832"/>
      <c r="S279" s="675"/>
    </row>
    <row r="280" spans="2:19" ht="114">
      <c r="B280" s="685"/>
      <c r="C280" s="672" t="s">
        <v>1745</v>
      </c>
      <c r="D280" s="673"/>
      <c r="E280" s="673"/>
      <c r="F280" s="827" t="s">
        <v>1745</v>
      </c>
      <c r="G280" s="800">
        <v>47209</v>
      </c>
      <c r="H280" s="740"/>
      <c r="I280" s="740"/>
      <c r="J280" s="800">
        <v>47362</v>
      </c>
      <c r="K280" s="673"/>
      <c r="L280" s="673"/>
      <c r="M280" s="673"/>
      <c r="N280" s="832"/>
      <c r="O280" s="832"/>
      <c r="P280" s="832"/>
      <c r="Q280" s="832"/>
      <c r="R280" s="832"/>
      <c r="S280" s="675"/>
    </row>
    <row r="281" spans="2:19" ht="128.25">
      <c r="B281" s="685"/>
      <c r="C281" s="672" t="s">
        <v>1746</v>
      </c>
      <c r="D281" s="673"/>
      <c r="E281" s="673"/>
      <c r="F281" s="827" t="s">
        <v>1746</v>
      </c>
      <c r="G281" s="800">
        <v>47209</v>
      </c>
      <c r="H281" s="740"/>
      <c r="I281" s="740"/>
      <c r="J281" s="800">
        <v>47362</v>
      </c>
      <c r="K281" s="673"/>
      <c r="L281" s="673"/>
      <c r="M281" s="673"/>
      <c r="N281" s="832"/>
      <c r="O281" s="832"/>
      <c r="P281" s="832"/>
      <c r="Q281" s="832"/>
      <c r="R281" s="832"/>
      <c r="S281" s="675"/>
    </row>
    <row r="282" spans="2:19" ht="156.75">
      <c r="B282" s="685"/>
      <c r="C282" s="672" t="s">
        <v>1773</v>
      </c>
      <c r="D282" s="673"/>
      <c r="E282" s="673"/>
      <c r="F282" s="827" t="s">
        <v>1773</v>
      </c>
      <c r="G282" s="800">
        <v>47423</v>
      </c>
      <c r="H282" s="740"/>
      <c r="I282" s="740"/>
      <c r="J282" s="800">
        <v>47515</v>
      </c>
      <c r="K282" s="673"/>
      <c r="L282" s="673"/>
      <c r="M282" s="673"/>
      <c r="N282" s="832"/>
      <c r="O282" s="832"/>
      <c r="P282" s="832"/>
      <c r="Q282" s="832"/>
      <c r="R282" s="832"/>
      <c r="S282" s="675"/>
    </row>
    <row r="283" spans="2:19" ht="128.25">
      <c r="B283" s="685"/>
      <c r="C283" s="672" t="s">
        <v>1791</v>
      </c>
      <c r="D283" s="673"/>
      <c r="E283" s="673"/>
      <c r="F283" s="827" t="s">
        <v>1791</v>
      </c>
      <c r="G283" s="800">
        <v>47392</v>
      </c>
      <c r="H283" s="740"/>
      <c r="I283" s="740"/>
      <c r="J283" s="800">
        <v>47484</v>
      </c>
      <c r="K283" s="673"/>
      <c r="L283" s="673"/>
      <c r="M283" s="673"/>
      <c r="N283" s="832"/>
      <c r="O283" s="832"/>
      <c r="P283" s="832"/>
      <c r="Q283" s="832"/>
      <c r="R283" s="832"/>
      <c r="S283" s="675"/>
    </row>
    <row r="284" spans="2:19" ht="142.5">
      <c r="B284" s="685"/>
      <c r="C284" s="672" t="s">
        <v>1747</v>
      </c>
      <c r="D284" s="673"/>
      <c r="E284" s="673"/>
      <c r="F284" s="673"/>
      <c r="G284" s="673"/>
      <c r="H284" s="673"/>
      <c r="I284" s="674"/>
      <c r="J284" s="673"/>
      <c r="K284" s="673"/>
      <c r="L284" s="673"/>
      <c r="M284" s="673"/>
      <c r="N284" s="832"/>
      <c r="O284" s="832"/>
      <c r="P284" s="832"/>
      <c r="Q284" s="832"/>
      <c r="R284" s="832"/>
      <c r="S284" s="675"/>
    </row>
    <row r="285" spans="2:19" ht="57">
      <c r="B285" s="685"/>
      <c r="C285" s="672" t="s">
        <v>1748</v>
      </c>
      <c r="D285" s="673"/>
      <c r="E285" s="673"/>
      <c r="F285" s="673"/>
      <c r="G285" s="673"/>
      <c r="H285" s="673"/>
      <c r="I285" s="674"/>
      <c r="J285" s="673"/>
      <c r="K285" s="673"/>
      <c r="L285" s="673"/>
      <c r="M285" s="673"/>
      <c r="N285" s="832"/>
      <c r="O285" s="832"/>
      <c r="P285" s="832"/>
      <c r="Q285" s="832"/>
      <c r="R285" s="832"/>
      <c r="S285" s="675"/>
    </row>
    <row r="286" spans="2:19" ht="42.75">
      <c r="B286" s="685"/>
      <c r="C286" s="672" t="s">
        <v>1795</v>
      </c>
      <c r="D286" s="673"/>
      <c r="E286" s="673"/>
      <c r="F286" s="673"/>
      <c r="G286" s="673"/>
      <c r="H286" s="673"/>
      <c r="I286" s="674"/>
      <c r="J286" s="673"/>
      <c r="K286" s="673"/>
      <c r="L286" s="673"/>
      <c r="M286" s="673"/>
      <c r="N286" s="832"/>
      <c r="O286" s="832"/>
      <c r="P286" s="832"/>
      <c r="Q286" s="832"/>
      <c r="R286" s="832"/>
      <c r="S286" s="675"/>
    </row>
    <row r="287" spans="2:19" ht="42.75">
      <c r="B287" s="685"/>
      <c r="C287" s="672" t="s">
        <v>1798</v>
      </c>
      <c r="D287" s="673"/>
      <c r="E287" s="673"/>
      <c r="F287" s="673"/>
      <c r="G287" s="673"/>
      <c r="H287" s="673"/>
      <c r="I287" s="674"/>
      <c r="J287" s="673"/>
      <c r="K287" s="673"/>
      <c r="L287" s="673"/>
      <c r="M287" s="673"/>
      <c r="N287" s="832"/>
      <c r="O287" s="832"/>
      <c r="P287" s="832"/>
      <c r="Q287" s="832"/>
      <c r="R287" s="832"/>
      <c r="S287" s="675"/>
    </row>
    <row r="288" spans="2:19" ht="128.25">
      <c r="B288" s="685"/>
      <c r="C288" s="672" t="s">
        <v>1774</v>
      </c>
      <c r="D288" s="673"/>
      <c r="E288" s="673"/>
      <c r="F288" s="673"/>
      <c r="G288" s="673"/>
      <c r="H288" s="673"/>
      <c r="I288" s="674"/>
      <c r="J288" s="673"/>
      <c r="K288" s="673"/>
      <c r="L288" s="673"/>
      <c r="M288" s="673"/>
      <c r="N288" s="832"/>
      <c r="O288" s="832"/>
      <c r="P288" s="832"/>
      <c r="Q288" s="832"/>
      <c r="R288" s="832"/>
      <c r="S288" s="675"/>
    </row>
    <row r="289" spans="2:19" ht="42.75">
      <c r="B289" s="685"/>
      <c r="C289" s="672" t="s">
        <v>1775</v>
      </c>
      <c r="D289" s="673"/>
      <c r="E289" s="673"/>
      <c r="F289" s="673"/>
      <c r="G289" s="673"/>
      <c r="H289" s="673"/>
      <c r="I289" s="674"/>
      <c r="J289" s="673"/>
      <c r="K289" s="673"/>
      <c r="L289" s="673"/>
      <c r="M289" s="673"/>
      <c r="N289" s="832"/>
      <c r="O289" s="832"/>
      <c r="P289" s="832"/>
      <c r="Q289" s="832"/>
      <c r="R289" s="832"/>
      <c r="S289" s="675"/>
    </row>
    <row r="290" spans="2:19" ht="15.75" thickBot="1">
      <c r="B290" s="748"/>
      <c r="C290" s="749" t="s">
        <v>1799</v>
      </c>
      <c r="D290" s="750"/>
      <c r="E290" s="750"/>
      <c r="F290" s="750"/>
      <c r="G290" s="750"/>
      <c r="H290" s="750"/>
      <c r="I290" s="752"/>
      <c r="J290" s="750"/>
      <c r="K290" s="750"/>
      <c r="L290" s="750"/>
      <c r="M290" s="750"/>
      <c r="N290" s="835"/>
      <c r="O290" s="835"/>
      <c r="P290" s="835"/>
      <c r="Q290" s="835"/>
      <c r="R290" s="835"/>
      <c r="S290" s="754"/>
    </row>
    <row r="291" spans="2:19">
      <c r="B291" s="844" t="s">
        <v>278</v>
      </c>
      <c r="C291" s="845"/>
      <c r="D291" s="815"/>
      <c r="E291" s="815"/>
      <c r="F291" s="815"/>
      <c r="G291" s="815"/>
      <c r="H291" s="815"/>
      <c r="I291" s="816"/>
      <c r="J291" s="815"/>
      <c r="K291" s="815"/>
      <c r="L291" s="815"/>
      <c r="M291" s="815"/>
      <c r="N291" s="846"/>
      <c r="O291" s="846"/>
      <c r="P291" s="846"/>
      <c r="Q291" s="846"/>
      <c r="R291" s="846"/>
      <c r="S291" s="847"/>
    </row>
    <row r="292" spans="2:19">
      <c r="B292" s="848"/>
      <c r="C292" s="791"/>
      <c r="D292" s="673"/>
      <c r="E292" s="673"/>
      <c r="F292" s="673"/>
      <c r="G292" s="673"/>
      <c r="H292" s="673"/>
      <c r="I292" s="674"/>
      <c r="J292" s="673"/>
      <c r="K292" s="673"/>
      <c r="L292" s="673"/>
      <c r="M292" s="673"/>
      <c r="N292" s="832"/>
      <c r="O292" s="832"/>
      <c r="P292" s="832"/>
      <c r="Q292" s="832"/>
      <c r="R292" s="832"/>
      <c r="S292" s="849"/>
    </row>
    <row r="293" spans="2:19">
      <c r="B293" s="850" t="s">
        <v>281</v>
      </c>
      <c r="C293" s="851"/>
      <c r="D293" s="852"/>
      <c r="E293" s="852"/>
      <c r="F293" s="852"/>
      <c r="G293" s="852"/>
      <c r="H293" s="852"/>
      <c r="I293" s="853"/>
      <c r="J293" s="852"/>
      <c r="K293" s="852"/>
      <c r="L293" s="852"/>
      <c r="M293" s="852"/>
      <c r="N293" s="852"/>
      <c r="O293" s="852"/>
      <c r="P293" s="852"/>
      <c r="Q293" s="852"/>
      <c r="R293" s="852"/>
      <c r="S293" s="854"/>
    </row>
  </sheetData>
  <mergeCells count="17">
    <mergeCell ref="K9:K10"/>
    <mergeCell ref="L9:L10"/>
    <mergeCell ref="J8:L8"/>
    <mergeCell ref="M8:S8"/>
    <mergeCell ref="G8:I8"/>
    <mergeCell ref="G9:G10"/>
    <mergeCell ref="M9:M10"/>
    <mergeCell ref="N9:N10"/>
    <mergeCell ref="O9:S9"/>
    <mergeCell ref="H9:H10"/>
    <mergeCell ref="I9:I10"/>
    <mergeCell ref="J9:J10"/>
    <mergeCell ref="B8:B10"/>
    <mergeCell ref="C8:C10"/>
    <mergeCell ref="D8:D10"/>
    <mergeCell ref="E8:E10"/>
    <mergeCell ref="F8:F10"/>
  </mergeCells>
  <pageMargins left="0.47244094488188981" right="0.19685039370078741" top="0.39370078740157483" bottom="0.35433070866141736" header="0.23622047244094491" footer="0.23622047244094491"/>
  <pageSetup paperSize="9" scale="16" fitToHeight="2" pageOrder="overThenDown" orientation="landscape" r:id="rId1"/>
  <headerFooter alignWithMargins="0">
    <oddHeader>&amp;F</oddHeader>
  </headerFooter>
  <rowBreaks count="7" manualBreakCount="7">
    <brk id="51" min="1" max="18" man="1"/>
    <brk id="88" min="1" max="18" man="1"/>
    <brk id="127" min="1" max="18" man="1"/>
    <brk id="168" min="1" max="18" man="1"/>
    <brk id="211" min="1" max="18" man="1"/>
    <brk id="242" min="1" max="18" man="1"/>
    <brk id="268" min="1" max="18" man="1"/>
  </rowBreaks>
</worksheet>
</file>

<file path=xl/worksheets/sheet14.xml><?xml version="1.0" encoding="utf-8"?>
<worksheet xmlns="http://schemas.openxmlformats.org/spreadsheetml/2006/main" xmlns:r="http://schemas.openxmlformats.org/officeDocument/2006/relationships">
  <dimension ref="B2:AX326"/>
  <sheetViews>
    <sheetView showGridLines="0" view="pageBreakPreview" zoomScale="90" zoomScaleNormal="80" zoomScaleSheetLayoutView="90" workbookViewId="0">
      <pane xSplit="4" ySplit="13" topLeftCell="E98" activePane="bottomRight" state="frozen"/>
      <selection pane="topRight" activeCell="E1" sqref="E1"/>
      <selection pane="bottomLeft" activeCell="A14" sqref="A14"/>
      <selection pane="bottomRight" activeCell="AO320" sqref="AO320"/>
    </sheetView>
  </sheetViews>
  <sheetFormatPr defaultColWidth="9.28515625" defaultRowHeight="15"/>
  <cols>
    <col min="1" max="1" width="4.42578125" style="112" customWidth="1"/>
    <col min="2" max="2" width="8.28515625" style="112" customWidth="1"/>
    <col min="3" max="3" width="46.42578125" style="112" customWidth="1"/>
    <col min="4" max="4" width="74.140625" style="112" customWidth="1"/>
    <col min="5" max="12" width="19.28515625" style="112" customWidth="1"/>
    <col min="13" max="13" width="18.7109375" style="112" customWidth="1"/>
    <col min="14" max="15" width="15.42578125" style="112" customWidth="1"/>
    <col min="16" max="23" width="14.42578125" style="112" customWidth="1"/>
    <col min="24" max="24" width="15.42578125" style="112" customWidth="1"/>
    <col min="25" max="29" width="14.42578125" style="112" customWidth="1"/>
    <col min="30" max="30" width="17.28515625" style="112" customWidth="1"/>
    <col min="31" max="31" width="14.42578125" style="112" customWidth="1"/>
    <col min="32" max="32" width="14.7109375" style="112" customWidth="1"/>
    <col min="33" max="33" width="17.42578125" style="112" customWidth="1"/>
    <col min="34" max="39" width="15.7109375" style="112" customWidth="1"/>
    <col min="40" max="40" width="14.42578125" style="112" customWidth="1"/>
    <col min="41" max="42" width="16" style="112" customWidth="1"/>
    <col min="43" max="43" width="14" style="112" customWidth="1"/>
    <col min="44" max="46" width="12.7109375" style="112" customWidth="1"/>
    <col min="47" max="47" width="15.28515625" style="112" customWidth="1"/>
    <col min="48" max="48" width="12.42578125" style="112" customWidth="1"/>
    <col min="49" max="50" width="13.42578125" style="112" customWidth="1"/>
    <col min="51" max="53" width="9.28515625" style="112"/>
    <col min="54" max="54" width="11.28515625" style="112" customWidth="1"/>
    <col min="55" max="16384" width="9.28515625" style="112"/>
  </cols>
  <sheetData>
    <row r="2" spans="2:50">
      <c r="C2" s="141"/>
      <c r="D2" s="141"/>
      <c r="E2" s="141"/>
      <c r="F2" s="141"/>
      <c r="G2" s="141"/>
      <c r="H2" s="141"/>
      <c r="I2" s="141"/>
      <c r="J2" s="141"/>
      <c r="K2" s="141"/>
      <c r="L2" s="141"/>
      <c r="M2" s="141"/>
      <c r="N2" s="141"/>
      <c r="O2" s="141"/>
      <c r="P2" s="141"/>
      <c r="Q2" s="141"/>
      <c r="R2" s="142"/>
      <c r="S2" s="142"/>
      <c r="T2" s="142"/>
      <c r="U2" s="142"/>
      <c r="V2" s="142"/>
      <c r="W2" s="142"/>
      <c r="X2" s="142"/>
    </row>
    <row r="3" spans="2:50">
      <c r="D3" s="143"/>
      <c r="E3" s="143"/>
      <c r="F3" s="143"/>
      <c r="G3" s="143"/>
      <c r="H3" s="143"/>
      <c r="I3" s="143"/>
      <c r="J3" s="143"/>
      <c r="K3" s="143"/>
      <c r="L3" s="143"/>
      <c r="M3" s="81" t="s">
        <v>0</v>
      </c>
      <c r="N3" s="143"/>
      <c r="O3" s="143"/>
      <c r="P3" s="143"/>
      <c r="Q3" s="143"/>
      <c r="R3" s="144"/>
      <c r="S3" s="144"/>
      <c r="T3" s="144"/>
      <c r="U3" s="144"/>
      <c r="V3" s="144"/>
      <c r="W3" s="144"/>
      <c r="X3" s="144"/>
      <c r="Y3" s="145"/>
      <c r="Z3" s="145"/>
      <c r="AA3" s="145"/>
      <c r="AB3" s="145"/>
      <c r="AC3" s="145"/>
    </row>
    <row r="4" spans="2:50">
      <c r="D4" s="129"/>
      <c r="E4" s="129"/>
      <c r="F4" s="129"/>
      <c r="G4" s="129"/>
      <c r="H4" s="129"/>
      <c r="I4" s="129"/>
      <c r="J4" s="129"/>
      <c r="K4" s="129"/>
      <c r="L4" s="129"/>
      <c r="M4" s="88" t="s">
        <v>1</v>
      </c>
      <c r="N4" s="129"/>
      <c r="O4" s="129"/>
      <c r="P4" s="129"/>
      <c r="Q4" s="129"/>
      <c r="R4" s="131"/>
      <c r="S4" s="131"/>
      <c r="T4" s="131"/>
      <c r="U4" s="131"/>
      <c r="V4" s="131"/>
      <c r="W4" s="131"/>
      <c r="X4" s="131"/>
      <c r="Y4" s="145"/>
      <c r="Z4" s="145"/>
      <c r="AA4" s="145"/>
      <c r="AB4" s="145"/>
      <c r="AC4" s="145"/>
    </row>
    <row r="5" spans="2:50">
      <c r="D5" s="131"/>
      <c r="E5" s="131"/>
      <c r="F5" s="131"/>
      <c r="G5" s="131"/>
      <c r="H5" s="131"/>
      <c r="I5" s="131"/>
      <c r="J5" s="131"/>
      <c r="K5" s="131"/>
      <c r="L5" s="131"/>
      <c r="M5" s="130" t="s">
        <v>283</v>
      </c>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31"/>
      <c r="AS5" s="131"/>
      <c r="AT5" s="131"/>
      <c r="AU5" s="128"/>
      <c r="AV5" s="128"/>
      <c r="AW5" s="128"/>
      <c r="AX5" s="128"/>
    </row>
    <row r="6" spans="2:50">
      <c r="D6" s="132"/>
      <c r="E6" s="132"/>
      <c r="F6" s="132"/>
      <c r="G6" s="132"/>
      <c r="H6" s="132"/>
      <c r="I6" s="132"/>
      <c r="J6" s="132"/>
      <c r="K6" s="132"/>
      <c r="L6" s="132"/>
      <c r="M6" s="133"/>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row>
    <row r="7" spans="2:50">
      <c r="C7" s="132"/>
      <c r="D7" s="132"/>
      <c r="E7" s="132"/>
      <c r="F7" s="132"/>
      <c r="G7" s="132"/>
      <c r="H7" s="132"/>
      <c r="I7" s="132"/>
      <c r="J7" s="132"/>
      <c r="K7" s="132"/>
      <c r="L7" s="132"/>
      <c r="M7" s="133"/>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row>
    <row r="8" spans="2:50">
      <c r="C8" s="133" t="s">
        <v>255</v>
      </c>
      <c r="D8" s="133"/>
      <c r="E8" s="133"/>
      <c r="F8" s="133"/>
      <c r="G8" s="133"/>
      <c r="H8" s="133"/>
      <c r="I8" s="133"/>
      <c r="J8" s="133"/>
      <c r="K8" s="133"/>
      <c r="L8" s="133"/>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row>
    <row r="9" spans="2:50">
      <c r="C9" s="132"/>
      <c r="D9" s="855"/>
      <c r="E9" s="132"/>
      <c r="F9" s="132"/>
      <c r="G9" s="132"/>
      <c r="H9" s="132"/>
      <c r="I9" s="132"/>
      <c r="J9" s="132"/>
      <c r="K9" s="132"/>
      <c r="L9" s="132"/>
      <c r="M9" s="132"/>
      <c r="N9" s="128"/>
      <c r="O9" s="128"/>
      <c r="P9" s="128"/>
      <c r="Q9" s="128"/>
      <c r="R9" s="128"/>
      <c r="S9" s="128"/>
      <c r="T9" s="128"/>
      <c r="U9" s="128"/>
      <c r="V9" s="147" t="s">
        <v>1800</v>
      </c>
      <c r="Y9" s="128"/>
      <c r="Z9" s="128"/>
      <c r="AA9" s="128"/>
      <c r="AB9" s="128"/>
      <c r="AC9" s="128"/>
      <c r="AD9" s="128"/>
      <c r="AE9" s="128"/>
      <c r="AF9" s="134"/>
      <c r="AG9" s="134"/>
      <c r="AH9" s="128"/>
      <c r="AK9" s="128"/>
      <c r="AL9" s="128"/>
      <c r="AM9" s="128"/>
      <c r="AO9" s="147" t="s">
        <v>1800</v>
      </c>
      <c r="AP9" s="147"/>
      <c r="AQ9" s="134"/>
    </row>
    <row r="10" spans="2:50">
      <c r="B10" s="1010" t="s">
        <v>2</v>
      </c>
      <c r="C10" s="1010" t="s">
        <v>256</v>
      </c>
      <c r="D10" s="1010" t="s">
        <v>257</v>
      </c>
      <c r="E10" s="1010" t="s">
        <v>258</v>
      </c>
      <c r="F10" s="1010" t="s">
        <v>259</v>
      </c>
      <c r="G10" s="1010" t="s">
        <v>284</v>
      </c>
      <c r="H10" s="1010" t="s">
        <v>285</v>
      </c>
      <c r="I10" s="1010" t="s">
        <v>286</v>
      </c>
      <c r="J10" s="1010" t="s">
        <v>287</v>
      </c>
      <c r="K10" s="1010" t="s">
        <v>288</v>
      </c>
      <c r="L10" s="1010" t="s">
        <v>289</v>
      </c>
      <c r="M10" s="1010" t="s">
        <v>290</v>
      </c>
      <c r="N10" s="1010" t="s">
        <v>291</v>
      </c>
      <c r="O10" s="1021" t="s">
        <v>248</v>
      </c>
      <c r="P10" s="1022"/>
      <c r="Q10" s="1022"/>
      <c r="R10" s="1022"/>
      <c r="S10" s="1022"/>
      <c r="T10" s="1022"/>
      <c r="U10" s="1022"/>
      <c r="V10" s="1022"/>
      <c r="W10" s="1023"/>
      <c r="X10" s="1015" t="s">
        <v>292</v>
      </c>
      <c r="Y10" s="1016"/>
      <c r="Z10" s="1016"/>
      <c r="AA10" s="1016"/>
      <c r="AB10" s="1016"/>
      <c r="AC10" s="1016"/>
      <c r="AD10" s="1016"/>
      <c r="AE10" s="1016"/>
      <c r="AF10" s="1017"/>
      <c r="AG10" s="1015" t="s">
        <v>249</v>
      </c>
      <c r="AH10" s="1016"/>
      <c r="AI10" s="1016"/>
      <c r="AJ10" s="1016"/>
      <c r="AK10" s="1016"/>
      <c r="AL10" s="1016"/>
      <c r="AM10" s="1016"/>
      <c r="AN10" s="1016"/>
      <c r="AO10" s="1017"/>
      <c r="AP10" s="1026" t="s">
        <v>293</v>
      </c>
      <c r="AQ10" s="1026"/>
    </row>
    <row r="11" spans="2:50">
      <c r="B11" s="1011"/>
      <c r="C11" s="1011"/>
      <c r="D11" s="1011"/>
      <c r="E11" s="1011"/>
      <c r="F11" s="1011"/>
      <c r="G11" s="1011"/>
      <c r="H11" s="1011"/>
      <c r="I11" s="1011"/>
      <c r="J11" s="1011"/>
      <c r="K11" s="1011"/>
      <c r="L11" s="1011"/>
      <c r="M11" s="1011"/>
      <c r="N11" s="1011"/>
      <c r="O11" s="1024" t="s">
        <v>294</v>
      </c>
      <c r="P11" s="856" t="s">
        <v>267</v>
      </c>
      <c r="Q11" s="856" t="s">
        <v>267</v>
      </c>
      <c r="R11" s="856" t="s">
        <v>295</v>
      </c>
      <c r="S11" s="856" t="s">
        <v>86</v>
      </c>
      <c r="T11" s="856" t="s">
        <v>86</v>
      </c>
      <c r="U11" s="856" t="s">
        <v>86</v>
      </c>
      <c r="V11" s="856" t="s">
        <v>86</v>
      </c>
      <c r="W11" s="856" t="s">
        <v>86</v>
      </c>
      <c r="X11" s="1024" t="s">
        <v>296</v>
      </c>
      <c r="Y11" s="856" t="s">
        <v>267</v>
      </c>
      <c r="Z11" s="856" t="s">
        <v>267</v>
      </c>
      <c r="AA11" s="856" t="s">
        <v>295</v>
      </c>
      <c r="AB11" s="856" t="s">
        <v>86</v>
      </c>
      <c r="AC11" s="856" t="s">
        <v>86</v>
      </c>
      <c r="AD11" s="856" t="s">
        <v>86</v>
      </c>
      <c r="AE11" s="856" t="s">
        <v>86</v>
      </c>
      <c r="AF11" s="856" t="s">
        <v>86</v>
      </c>
      <c r="AG11" s="1024" t="s">
        <v>1801</v>
      </c>
      <c r="AH11" s="856" t="s">
        <v>267</v>
      </c>
      <c r="AI11" s="856" t="s">
        <v>267</v>
      </c>
      <c r="AJ11" s="856" t="s">
        <v>295</v>
      </c>
      <c r="AK11" s="856" t="s">
        <v>86</v>
      </c>
      <c r="AL11" s="856" t="s">
        <v>86</v>
      </c>
      <c r="AM11" s="856" t="s">
        <v>86</v>
      </c>
      <c r="AN11" s="856" t="s">
        <v>86</v>
      </c>
      <c r="AO11" s="856" t="s">
        <v>86</v>
      </c>
      <c r="AP11" s="1024" t="s">
        <v>297</v>
      </c>
      <c r="AQ11" s="1024" t="s">
        <v>298</v>
      </c>
    </row>
    <row r="12" spans="2:50" ht="15.75" thickBot="1">
      <c r="B12" s="1012"/>
      <c r="C12" s="1012"/>
      <c r="D12" s="1012"/>
      <c r="E12" s="1012"/>
      <c r="F12" s="1012"/>
      <c r="G12" s="1012"/>
      <c r="H12" s="1012"/>
      <c r="I12" s="1012"/>
      <c r="J12" s="1012"/>
      <c r="K12" s="1012"/>
      <c r="L12" s="1012"/>
      <c r="M12" s="1012"/>
      <c r="N12" s="1012"/>
      <c r="O12" s="1025"/>
      <c r="P12" s="857" t="s">
        <v>58</v>
      </c>
      <c r="Q12" s="857" t="s">
        <v>59</v>
      </c>
      <c r="R12" s="857" t="s">
        <v>60</v>
      </c>
      <c r="S12" s="857" t="s">
        <v>70</v>
      </c>
      <c r="T12" s="857" t="s">
        <v>71</v>
      </c>
      <c r="U12" s="857" t="s">
        <v>72</v>
      </c>
      <c r="V12" s="857" t="s">
        <v>73</v>
      </c>
      <c r="W12" s="857" t="s">
        <v>74</v>
      </c>
      <c r="X12" s="1025"/>
      <c r="Y12" s="857" t="s">
        <v>58</v>
      </c>
      <c r="Z12" s="857" t="s">
        <v>59</v>
      </c>
      <c r="AA12" s="857" t="s">
        <v>60</v>
      </c>
      <c r="AB12" s="857" t="s">
        <v>70</v>
      </c>
      <c r="AC12" s="857" t="s">
        <v>71</v>
      </c>
      <c r="AD12" s="857" t="s">
        <v>72</v>
      </c>
      <c r="AE12" s="857" t="s">
        <v>73</v>
      </c>
      <c r="AF12" s="857" t="s">
        <v>74</v>
      </c>
      <c r="AG12" s="1025"/>
      <c r="AH12" s="857" t="s">
        <v>58</v>
      </c>
      <c r="AI12" s="857" t="s">
        <v>59</v>
      </c>
      <c r="AJ12" s="857" t="s">
        <v>60</v>
      </c>
      <c r="AK12" s="857" t="s">
        <v>70</v>
      </c>
      <c r="AL12" s="857" t="s">
        <v>71</v>
      </c>
      <c r="AM12" s="857" t="s">
        <v>72</v>
      </c>
      <c r="AN12" s="857" t="s">
        <v>73</v>
      </c>
      <c r="AO12" s="857" t="s">
        <v>74</v>
      </c>
      <c r="AP12" s="1025"/>
      <c r="AQ12" s="1025"/>
    </row>
    <row r="13" spans="2:50" s="781" customFormat="1">
      <c r="B13" s="858"/>
      <c r="C13" s="859" t="s">
        <v>58</v>
      </c>
      <c r="D13" s="860"/>
      <c r="E13" s="784"/>
      <c r="F13" s="784"/>
      <c r="G13" s="861"/>
      <c r="H13" s="861"/>
      <c r="I13" s="861"/>
      <c r="J13" s="861"/>
      <c r="K13" s="861"/>
      <c r="L13" s="861"/>
      <c r="M13" s="861"/>
      <c r="N13" s="861"/>
      <c r="O13" s="861"/>
      <c r="P13" s="861"/>
      <c r="Q13" s="861"/>
      <c r="R13" s="861"/>
      <c r="S13" s="861"/>
      <c r="T13" s="861"/>
      <c r="U13" s="861"/>
      <c r="V13" s="861"/>
      <c r="W13" s="861"/>
      <c r="X13" s="861"/>
      <c r="Y13" s="861"/>
      <c r="Z13" s="861"/>
      <c r="AA13" s="861"/>
      <c r="AB13" s="861"/>
      <c r="AC13" s="861"/>
      <c r="AD13" s="861"/>
      <c r="AE13" s="861"/>
      <c r="AF13" s="861"/>
      <c r="AG13" s="861"/>
      <c r="AH13" s="861"/>
      <c r="AI13" s="861"/>
      <c r="AJ13" s="861"/>
      <c r="AK13" s="861"/>
      <c r="AL13" s="861"/>
      <c r="AM13" s="861"/>
      <c r="AN13" s="861"/>
      <c r="AO13" s="861"/>
      <c r="AP13" s="861"/>
      <c r="AQ13" s="861"/>
    </row>
    <row r="14" spans="2:50">
      <c r="B14" s="818"/>
      <c r="C14" s="671" t="s">
        <v>276</v>
      </c>
      <c r="D14" s="672"/>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674"/>
      <c r="AF14" s="674"/>
      <c r="AG14" s="674"/>
      <c r="AH14" s="674"/>
      <c r="AI14" s="674"/>
      <c r="AJ14" s="674"/>
      <c r="AK14" s="674"/>
      <c r="AL14" s="674"/>
      <c r="AM14" s="674"/>
      <c r="AN14" s="674"/>
      <c r="AO14" s="674"/>
      <c r="AP14" s="674"/>
      <c r="AQ14" s="674"/>
    </row>
    <row r="15" spans="2:50" ht="75">
      <c r="B15" s="818"/>
      <c r="C15" s="676" t="s">
        <v>277</v>
      </c>
      <c r="D15" s="672" t="s">
        <v>1564</v>
      </c>
      <c r="E15" s="791" t="s">
        <v>1565</v>
      </c>
      <c r="F15" s="862" t="s">
        <v>1566</v>
      </c>
      <c r="G15" s="674">
        <v>283</v>
      </c>
      <c r="H15" s="674"/>
      <c r="I15" s="674"/>
      <c r="J15" s="674" t="s">
        <v>1802</v>
      </c>
      <c r="K15" s="674" t="s">
        <v>1802</v>
      </c>
      <c r="L15" s="674" t="s">
        <v>1803</v>
      </c>
      <c r="M15" s="674" t="s">
        <v>1803</v>
      </c>
      <c r="N15" s="674"/>
      <c r="O15" s="123">
        <v>250.04</v>
      </c>
      <c r="P15" s="674">
        <v>24.78</v>
      </c>
      <c r="Q15" s="674"/>
      <c r="R15" s="674"/>
      <c r="S15" s="674"/>
      <c r="T15" s="674"/>
      <c r="U15" s="674"/>
      <c r="V15" s="674"/>
      <c r="W15" s="674"/>
      <c r="X15" s="674"/>
      <c r="Y15" s="863">
        <v>1</v>
      </c>
      <c r="Z15" s="674"/>
      <c r="AA15" s="674"/>
      <c r="AB15" s="674"/>
      <c r="AC15" s="674"/>
      <c r="AD15" s="674"/>
      <c r="AE15" s="674"/>
      <c r="AF15" s="674"/>
      <c r="AG15" s="674">
        <v>247.8</v>
      </c>
      <c r="AH15" s="674">
        <v>24.78</v>
      </c>
      <c r="AI15" s="674"/>
      <c r="AJ15" s="674"/>
      <c r="AK15" s="674"/>
      <c r="AL15" s="674"/>
      <c r="AM15" s="674"/>
      <c r="AN15" s="674"/>
      <c r="AO15" s="674"/>
      <c r="AP15" s="862" t="s">
        <v>1804</v>
      </c>
      <c r="AQ15" s="674"/>
    </row>
    <row r="16" spans="2:50" ht="30">
      <c r="B16" s="818"/>
      <c r="C16" s="864" t="s">
        <v>278</v>
      </c>
      <c r="D16" s="865" t="s">
        <v>1202</v>
      </c>
      <c r="E16" s="866" t="s">
        <v>1203</v>
      </c>
      <c r="F16" s="867" t="s">
        <v>1571</v>
      </c>
      <c r="G16" s="868">
        <v>155</v>
      </c>
      <c r="H16" s="869"/>
      <c r="I16" s="869"/>
      <c r="J16" s="862" t="s">
        <v>1805</v>
      </c>
      <c r="K16" s="862" t="s">
        <v>1805</v>
      </c>
      <c r="L16" s="791" t="s">
        <v>1806</v>
      </c>
      <c r="M16" s="791" t="s">
        <v>1807</v>
      </c>
      <c r="N16" s="867"/>
      <c r="O16" s="866"/>
      <c r="P16" s="673">
        <v>159.41</v>
      </c>
      <c r="Q16" s="673"/>
      <c r="R16" s="673"/>
      <c r="S16" s="673"/>
      <c r="T16" s="673"/>
      <c r="U16" s="673"/>
      <c r="V16" s="673"/>
      <c r="W16" s="673"/>
      <c r="X16" s="673"/>
      <c r="Y16" s="870">
        <v>0.70489999999999997</v>
      </c>
      <c r="Z16" s="871">
        <v>0.29509999999999997</v>
      </c>
      <c r="AA16" s="673"/>
      <c r="AB16" s="673"/>
      <c r="AC16" s="673"/>
      <c r="AD16" s="673"/>
      <c r="AE16" s="673"/>
      <c r="AF16" s="673"/>
      <c r="AG16" s="673"/>
      <c r="AH16" s="694">
        <v>159.41</v>
      </c>
      <c r="AI16" s="694" t="s">
        <v>584</v>
      </c>
      <c r="AJ16" s="673"/>
      <c r="AK16" s="673"/>
      <c r="AL16" s="673"/>
      <c r="AM16" s="673"/>
      <c r="AN16" s="673"/>
      <c r="AO16" s="673"/>
      <c r="AP16" s="673"/>
      <c r="AQ16" s="673"/>
    </row>
    <row r="17" spans="2:44" ht="75">
      <c r="B17" s="818"/>
      <c r="C17" s="685" t="s">
        <v>278</v>
      </c>
      <c r="D17" s="705" t="s">
        <v>1576</v>
      </c>
      <c r="E17" s="791" t="s">
        <v>1577</v>
      </c>
      <c r="F17" s="862" t="s">
        <v>1566</v>
      </c>
      <c r="G17" s="674">
        <v>248</v>
      </c>
      <c r="H17" s="674"/>
      <c r="I17" s="674"/>
      <c r="J17" s="674" t="s">
        <v>1639</v>
      </c>
      <c r="K17" s="674" t="s">
        <v>1639</v>
      </c>
      <c r="L17" s="674" t="s">
        <v>1808</v>
      </c>
      <c r="M17" s="674" t="s">
        <v>1808</v>
      </c>
      <c r="N17" s="674"/>
      <c r="O17" s="674">
        <v>24.78</v>
      </c>
      <c r="P17" s="862">
        <v>46.02</v>
      </c>
      <c r="Q17" s="674"/>
      <c r="R17" s="674"/>
      <c r="S17" s="674"/>
      <c r="T17" s="674"/>
      <c r="U17" s="674"/>
      <c r="V17" s="674"/>
      <c r="W17" s="674"/>
      <c r="X17" s="674"/>
      <c r="Y17" s="863">
        <v>1</v>
      </c>
      <c r="Z17" s="674"/>
      <c r="AA17" s="674"/>
      <c r="AB17" s="674"/>
      <c r="AC17" s="674"/>
      <c r="AD17" s="674"/>
      <c r="AE17" s="674"/>
      <c r="AF17" s="674"/>
      <c r="AG17" s="674"/>
      <c r="AH17" s="674">
        <v>46.02</v>
      </c>
      <c r="AI17" s="674"/>
      <c r="AJ17" s="674"/>
      <c r="AK17" s="674"/>
      <c r="AL17" s="674"/>
      <c r="AM17" s="674"/>
      <c r="AN17" s="674"/>
      <c r="AO17" s="674"/>
      <c r="AP17" s="674"/>
      <c r="AQ17" s="862" t="s">
        <v>1809</v>
      </c>
    </row>
    <row r="18" spans="2:44">
      <c r="B18" s="818"/>
      <c r="C18" s="685"/>
      <c r="D18" s="705" t="s">
        <v>1721</v>
      </c>
      <c r="E18" s="694">
        <v>538</v>
      </c>
      <c r="F18" s="872">
        <v>43686</v>
      </c>
      <c r="G18" s="873">
        <v>838.3</v>
      </c>
      <c r="H18" s="674"/>
      <c r="I18" s="674"/>
      <c r="J18" s="874">
        <v>43708</v>
      </c>
      <c r="K18" s="874">
        <v>43708</v>
      </c>
      <c r="L18" s="874">
        <v>43921</v>
      </c>
      <c r="M18" s="874">
        <v>44480</v>
      </c>
      <c r="N18" s="674"/>
      <c r="O18" s="674">
        <v>461</v>
      </c>
      <c r="P18" s="674"/>
      <c r="Q18" s="674"/>
      <c r="R18" s="674"/>
      <c r="S18" s="674"/>
      <c r="T18" s="674"/>
      <c r="U18" s="674"/>
      <c r="V18" s="674"/>
      <c r="W18" s="674"/>
      <c r="X18" s="863"/>
      <c r="Y18" s="674"/>
      <c r="Z18" s="674"/>
      <c r="AA18" s="674"/>
      <c r="AB18" s="674"/>
      <c r="AC18" s="674"/>
      <c r="AD18" s="674"/>
      <c r="AE18" s="674"/>
      <c r="AF18" s="674"/>
      <c r="AG18" s="674"/>
      <c r="AH18" s="674"/>
      <c r="AI18" s="674"/>
      <c r="AJ18" s="674"/>
      <c r="AK18" s="674"/>
      <c r="AL18" s="674"/>
      <c r="AM18" s="674"/>
      <c r="AN18" s="674"/>
      <c r="AO18" s="674"/>
      <c r="AP18" s="674"/>
      <c r="AQ18" s="674"/>
    </row>
    <row r="19" spans="2:44">
      <c r="B19" s="818"/>
      <c r="C19" s="676" t="s">
        <v>279</v>
      </c>
      <c r="D19" s="672"/>
      <c r="E19" s="694"/>
      <c r="F19" s="694"/>
      <c r="G19" s="674"/>
      <c r="H19" s="674"/>
      <c r="I19" s="674"/>
      <c r="J19" s="674"/>
      <c r="K19" s="674"/>
      <c r="L19" s="674"/>
      <c r="M19" s="674"/>
      <c r="N19" s="674"/>
      <c r="O19" s="674"/>
      <c r="P19" s="674"/>
      <c r="Q19" s="674"/>
      <c r="R19" s="674"/>
      <c r="S19" s="674"/>
      <c r="T19" s="674"/>
      <c r="U19" s="674"/>
      <c r="V19" s="674"/>
      <c r="W19" s="674"/>
      <c r="X19" s="674"/>
      <c r="Y19" s="674"/>
      <c r="Z19" s="674"/>
      <c r="AA19" s="674"/>
      <c r="AB19" s="674"/>
      <c r="AC19" s="674"/>
      <c r="AD19" s="674"/>
      <c r="AE19" s="674"/>
      <c r="AF19" s="674"/>
      <c r="AG19" s="674"/>
      <c r="AH19" s="674"/>
      <c r="AI19" s="674"/>
      <c r="AJ19" s="674"/>
      <c r="AK19" s="674"/>
      <c r="AL19" s="674"/>
      <c r="AM19" s="674"/>
      <c r="AN19" s="674"/>
      <c r="AO19" s="674"/>
      <c r="AP19" s="674"/>
      <c r="AQ19" s="674"/>
    </row>
    <row r="20" spans="2:44">
      <c r="B20" s="818"/>
      <c r="C20" s="685" t="s">
        <v>278</v>
      </c>
      <c r="D20" s="672"/>
      <c r="E20" s="694"/>
      <c r="F20" s="69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row>
    <row r="21" spans="2:44">
      <c r="B21" s="818"/>
      <c r="C21" s="685" t="s">
        <v>278</v>
      </c>
      <c r="D21" s="672"/>
      <c r="E21" s="694"/>
      <c r="F21" s="69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4"/>
      <c r="AK21" s="674"/>
      <c r="AL21" s="674"/>
      <c r="AM21" s="674"/>
      <c r="AN21" s="674"/>
      <c r="AO21" s="674"/>
      <c r="AP21" s="674"/>
      <c r="AQ21" s="674"/>
    </row>
    <row r="22" spans="2:44">
      <c r="B22" s="818"/>
      <c r="C22" s="704" t="s">
        <v>280</v>
      </c>
      <c r="D22" s="672"/>
      <c r="E22" s="694"/>
      <c r="F22" s="694"/>
      <c r="H22" s="674"/>
      <c r="I22" s="674"/>
      <c r="J22" s="674"/>
      <c r="K22" s="674"/>
      <c r="L22" s="674"/>
      <c r="M22" s="674"/>
      <c r="N22" s="674"/>
      <c r="O22" s="674"/>
      <c r="P22" s="674"/>
      <c r="Q22" s="674"/>
      <c r="R22" s="674"/>
      <c r="S22" s="674"/>
      <c r="T22" s="674"/>
      <c r="U22" s="674"/>
      <c r="V22" s="674"/>
      <c r="W22" s="674"/>
      <c r="X22" s="674"/>
      <c r="Z22" s="674"/>
      <c r="AA22" s="674"/>
      <c r="AB22" s="674"/>
      <c r="AC22" s="674"/>
      <c r="AD22" s="674"/>
      <c r="AE22" s="674"/>
      <c r="AF22" s="674"/>
      <c r="AG22" s="674"/>
      <c r="AI22" s="674"/>
      <c r="AJ22" s="674"/>
      <c r="AK22" s="674"/>
      <c r="AL22" s="674"/>
      <c r="AM22" s="674"/>
      <c r="AN22" s="674"/>
      <c r="AO22" s="674"/>
      <c r="AP22" s="674"/>
      <c r="AQ22" s="674"/>
    </row>
    <row r="23" spans="2:44">
      <c r="B23" s="818"/>
      <c r="C23" s="704"/>
      <c r="D23" s="705" t="s">
        <v>1582</v>
      </c>
      <c r="E23" s="694"/>
      <c r="F23" s="694"/>
      <c r="G23" s="674">
        <v>0.73</v>
      </c>
      <c r="H23" s="674"/>
      <c r="I23" s="674"/>
      <c r="J23" s="674"/>
      <c r="K23" s="674"/>
      <c r="L23" s="674"/>
      <c r="M23" s="674"/>
      <c r="N23" s="674"/>
      <c r="O23" s="674"/>
      <c r="P23" s="674">
        <v>0.73</v>
      </c>
      <c r="Q23" s="674"/>
      <c r="R23" s="674"/>
      <c r="S23" s="674"/>
      <c r="T23" s="674"/>
      <c r="U23" s="674"/>
      <c r="V23" s="674"/>
      <c r="W23" s="674"/>
      <c r="X23" s="674"/>
      <c r="Y23" s="863">
        <v>1</v>
      </c>
      <c r="Z23" s="674"/>
      <c r="AA23" s="674"/>
      <c r="AB23" s="674"/>
      <c r="AC23" s="674"/>
      <c r="AD23" s="674"/>
      <c r="AE23" s="674"/>
      <c r="AF23" s="674"/>
      <c r="AG23" s="674"/>
      <c r="AH23" s="674">
        <v>0.73</v>
      </c>
      <c r="AI23" s="674"/>
      <c r="AJ23" s="674"/>
      <c r="AK23" s="674"/>
      <c r="AL23" s="674"/>
      <c r="AM23" s="674"/>
      <c r="AN23" s="674"/>
      <c r="AO23" s="674"/>
      <c r="AP23" s="674"/>
      <c r="AQ23" s="674"/>
    </row>
    <row r="24" spans="2:44" ht="30">
      <c r="B24" s="818"/>
      <c r="C24" s="704"/>
      <c r="D24" s="865" t="s">
        <v>1584</v>
      </c>
      <c r="E24" s="869"/>
      <c r="F24" s="869"/>
      <c r="G24" s="875">
        <v>0.13</v>
      </c>
      <c r="H24" s="875"/>
      <c r="I24" s="875"/>
      <c r="J24" s="875"/>
      <c r="K24" s="875"/>
      <c r="L24" s="875"/>
      <c r="M24" s="875"/>
      <c r="N24" s="875"/>
      <c r="O24" s="875">
        <v>0.13</v>
      </c>
      <c r="P24" s="674"/>
      <c r="Q24" s="674"/>
      <c r="R24" s="674"/>
      <c r="S24" s="674"/>
      <c r="T24" s="674"/>
      <c r="U24" s="674"/>
      <c r="V24" s="674"/>
      <c r="W24" s="674"/>
      <c r="X24" s="863">
        <v>1</v>
      </c>
      <c r="Y24" s="123"/>
      <c r="Z24" s="674"/>
      <c r="AA24" s="674"/>
      <c r="AB24" s="674"/>
      <c r="AC24" s="674"/>
      <c r="AD24" s="674"/>
      <c r="AE24" s="674"/>
      <c r="AF24" s="674"/>
      <c r="AG24" s="674">
        <v>12.71</v>
      </c>
      <c r="AH24" s="674"/>
      <c r="AI24" s="674"/>
      <c r="AJ24" s="674"/>
      <c r="AK24" s="674"/>
      <c r="AL24" s="674"/>
      <c r="AM24" s="674"/>
      <c r="AN24" s="674"/>
      <c r="AO24" s="674"/>
      <c r="AP24" s="674"/>
      <c r="AQ24" s="674"/>
    </row>
    <row r="25" spans="2:44">
      <c r="B25" s="818"/>
      <c r="C25" s="704"/>
      <c r="D25" s="705" t="s">
        <v>1206</v>
      </c>
      <c r="E25" s="694"/>
      <c r="F25" s="694"/>
      <c r="G25" s="674">
        <v>40.22</v>
      </c>
      <c r="H25" s="674"/>
      <c r="I25" s="674"/>
      <c r="J25" s="674" t="s">
        <v>1810</v>
      </c>
      <c r="K25" s="674" t="s">
        <v>1811</v>
      </c>
      <c r="L25" s="674" t="s">
        <v>1810</v>
      </c>
      <c r="M25" s="674" t="s">
        <v>1586</v>
      </c>
      <c r="N25" s="674"/>
      <c r="O25" s="674"/>
      <c r="P25" s="674">
        <v>38.18</v>
      </c>
      <c r="Q25" s="674"/>
      <c r="R25" s="674"/>
      <c r="S25" s="674"/>
      <c r="T25" s="674"/>
      <c r="U25" s="674"/>
      <c r="V25" s="674"/>
      <c r="W25" s="674"/>
      <c r="X25" s="674"/>
      <c r="Y25" s="863">
        <v>1</v>
      </c>
      <c r="Z25" s="674"/>
      <c r="AA25" s="674"/>
      <c r="AB25" s="674"/>
      <c r="AC25" s="674"/>
      <c r="AD25" s="674"/>
      <c r="AE25" s="674"/>
      <c r="AF25" s="674"/>
      <c r="AG25" s="674"/>
      <c r="AH25" s="674">
        <v>38.18</v>
      </c>
      <c r="AI25" s="674"/>
      <c r="AJ25" s="674"/>
      <c r="AK25" s="674"/>
      <c r="AL25" s="674"/>
      <c r="AM25" s="674"/>
      <c r="AN25" s="674"/>
      <c r="AO25" s="674"/>
      <c r="AP25" s="674"/>
      <c r="AQ25" s="674"/>
    </row>
    <row r="26" spans="2:44" s="709" customFormat="1">
      <c r="B26" s="876"/>
      <c r="C26" s="710"/>
      <c r="D26" s="865" t="s">
        <v>1587</v>
      </c>
      <c r="E26" s="869"/>
      <c r="F26" s="869"/>
      <c r="G26" s="875">
        <v>5.2</v>
      </c>
      <c r="H26" s="875"/>
      <c r="I26" s="875"/>
      <c r="J26" s="875" t="s">
        <v>1586</v>
      </c>
      <c r="K26" s="875" t="s">
        <v>1586</v>
      </c>
      <c r="L26" s="875"/>
      <c r="M26" s="875"/>
      <c r="N26" s="875"/>
      <c r="O26" s="875"/>
      <c r="P26" s="875">
        <v>5.2</v>
      </c>
      <c r="Q26" s="875"/>
      <c r="R26" s="875"/>
      <c r="S26" s="875"/>
      <c r="T26" s="875"/>
      <c r="U26" s="875"/>
      <c r="V26" s="875"/>
      <c r="W26" s="875"/>
      <c r="X26" s="875"/>
      <c r="Y26" s="877">
        <v>0.38</v>
      </c>
      <c r="Z26" s="875"/>
      <c r="AA26" s="875"/>
      <c r="AB26" s="875"/>
      <c r="AC26" s="875"/>
      <c r="AD26" s="875"/>
      <c r="AE26" s="875"/>
      <c r="AF26" s="875"/>
      <c r="AG26" s="875"/>
      <c r="AH26" s="875"/>
      <c r="AI26" s="875"/>
      <c r="AJ26" s="875"/>
      <c r="AK26" s="875"/>
      <c r="AL26" s="875"/>
      <c r="AM26" s="875"/>
      <c r="AN26" s="875"/>
      <c r="AO26" s="875"/>
      <c r="AP26" s="875"/>
      <c r="AQ26" s="875"/>
      <c r="AR26" s="112" t="s">
        <v>1812</v>
      </c>
    </row>
    <row r="27" spans="2:44">
      <c r="B27" s="818"/>
      <c r="C27" s="704"/>
      <c r="D27" s="705" t="s">
        <v>1588</v>
      </c>
      <c r="E27" s="694"/>
      <c r="F27" s="694"/>
      <c r="G27" s="674">
        <v>19.25</v>
      </c>
      <c r="H27" s="674"/>
      <c r="I27" s="674"/>
      <c r="J27" s="674" t="s">
        <v>1813</v>
      </c>
      <c r="K27" s="674" t="s">
        <v>1813</v>
      </c>
      <c r="L27" s="674" t="s">
        <v>1814</v>
      </c>
      <c r="M27" s="674" t="s">
        <v>1814</v>
      </c>
      <c r="N27" s="674"/>
      <c r="O27" s="674">
        <v>12.95</v>
      </c>
      <c r="P27" s="873">
        <v>6.3</v>
      </c>
      <c r="Q27" s="674"/>
      <c r="R27" s="674"/>
      <c r="S27" s="674"/>
      <c r="T27" s="674"/>
      <c r="U27" s="674"/>
      <c r="V27" s="674"/>
      <c r="W27" s="674"/>
      <c r="X27" s="674"/>
      <c r="Y27" s="863">
        <v>1</v>
      </c>
      <c r="Z27" s="674"/>
      <c r="AA27" s="674"/>
      <c r="AB27" s="674"/>
      <c r="AC27" s="674"/>
      <c r="AD27" s="674"/>
      <c r="AE27" s="674"/>
      <c r="AF27" s="674"/>
      <c r="AG27" s="674">
        <v>12.95</v>
      </c>
      <c r="AH27" s="873">
        <v>6.3</v>
      </c>
      <c r="AI27" s="674"/>
      <c r="AJ27" s="674"/>
      <c r="AK27" s="674"/>
      <c r="AL27" s="674"/>
      <c r="AM27" s="674"/>
      <c r="AN27" s="674"/>
      <c r="AO27" s="674"/>
      <c r="AP27" s="674"/>
      <c r="AQ27" s="674"/>
    </row>
    <row r="28" spans="2:44">
      <c r="B28" s="818"/>
      <c r="C28" s="704"/>
      <c r="D28" s="705" t="s">
        <v>1591</v>
      </c>
      <c r="E28" s="673"/>
      <c r="F28" s="673"/>
      <c r="G28" s="674">
        <v>62.61</v>
      </c>
      <c r="H28" s="674"/>
      <c r="I28" s="674"/>
      <c r="J28" s="674" t="s">
        <v>1590</v>
      </c>
      <c r="K28" s="674" t="s">
        <v>1590</v>
      </c>
      <c r="L28" s="674"/>
      <c r="M28" s="674"/>
      <c r="N28" s="674"/>
      <c r="O28" s="674"/>
      <c r="P28" s="674">
        <v>62.61</v>
      </c>
      <c r="Q28" s="674"/>
      <c r="R28" s="674"/>
      <c r="S28" s="674"/>
      <c r="T28" s="674"/>
      <c r="U28" s="674"/>
      <c r="V28" s="674"/>
      <c r="W28" s="674"/>
      <c r="X28" s="674"/>
      <c r="Y28" s="863"/>
      <c r="Z28" s="674"/>
      <c r="AA28" s="674"/>
      <c r="AB28" s="674"/>
      <c r="AC28" s="674"/>
      <c r="AD28" s="674"/>
      <c r="AE28" s="674"/>
      <c r="AF28" s="674"/>
      <c r="AG28" s="674"/>
      <c r="AH28" s="674"/>
      <c r="AI28" s="674"/>
      <c r="AJ28" s="674"/>
      <c r="AK28" s="674"/>
      <c r="AL28" s="674"/>
      <c r="AM28" s="674"/>
      <c r="AN28" s="674"/>
      <c r="AO28" s="674"/>
      <c r="AP28" s="674"/>
      <c r="AQ28" s="674"/>
    </row>
    <row r="29" spans="2:44" s="709" customFormat="1">
      <c r="B29" s="876"/>
      <c r="C29" s="710"/>
      <c r="D29" s="865" t="s">
        <v>1592</v>
      </c>
      <c r="E29" s="869"/>
      <c r="F29" s="869"/>
      <c r="G29" s="875">
        <v>5.94</v>
      </c>
      <c r="H29" s="875"/>
      <c r="I29" s="875"/>
      <c r="J29" s="875" t="s">
        <v>1815</v>
      </c>
      <c r="K29" s="875" t="s">
        <v>1815</v>
      </c>
      <c r="L29" s="875" t="s">
        <v>1808</v>
      </c>
      <c r="M29" s="875" t="s">
        <v>1808</v>
      </c>
      <c r="N29" s="875"/>
      <c r="O29" s="875"/>
      <c r="P29" s="875">
        <v>5.93</v>
      </c>
      <c r="Q29" s="875"/>
      <c r="R29" s="875"/>
      <c r="S29" s="875"/>
      <c r="T29" s="875"/>
      <c r="U29" s="875"/>
      <c r="V29" s="875"/>
      <c r="W29" s="875"/>
      <c r="X29" s="875"/>
      <c r="Y29" s="877">
        <v>1</v>
      </c>
      <c r="Z29" s="875"/>
      <c r="AA29" s="875"/>
      <c r="AB29" s="875"/>
      <c r="AC29" s="875"/>
      <c r="AD29" s="875"/>
      <c r="AE29" s="875"/>
      <c r="AF29" s="875"/>
      <c r="AG29" s="875"/>
      <c r="AH29" s="875">
        <v>5.94</v>
      </c>
      <c r="AI29" s="875"/>
      <c r="AJ29" s="875"/>
      <c r="AK29" s="875"/>
      <c r="AL29" s="875"/>
      <c r="AM29" s="875"/>
      <c r="AN29" s="875"/>
      <c r="AO29" s="875"/>
      <c r="AP29" s="875"/>
      <c r="AQ29" s="875"/>
    </row>
    <row r="30" spans="2:44">
      <c r="B30" s="818"/>
      <c r="C30" s="704"/>
      <c r="D30" s="705" t="s">
        <v>1595</v>
      </c>
      <c r="E30" s="673"/>
      <c r="F30" s="673"/>
      <c r="G30" s="873">
        <v>99.2</v>
      </c>
      <c r="H30" s="674"/>
      <c r="I30" s="674"/>
      <c r="J30" s="674" t="s">
        <v>1598</v>
      </c>
      <c r="K30" s="674" t="s">
        <v>1598</v>
      </c>
      <c r="L30" s="674" t="s">
        <v>1816</v>
      </c>
      <c r="M30" s="674" t="s">
        <v>1816</v>
      </c>
      <c r="N30" s="674"/>
      <c r="O30" s="674"/>
      <c r="P30" s="873">
        <v>99.2</v>
      </c>
      <c r="Q30" s="674"/>
      <c r="R30" s="674"/>
      <c r="S30" s="674"/>
      <c r="T30" s="674"/>
      <c r="U30" s="674"/>
      <c r="V30" s="674"/>
      <c r="W30" s="674"/>
      <c r="X30" s="674"/>
      <c r="Y30" s="863">
        <v>1</v>
      </c>
      <c r="Z30" s="674"/>
      <c r="AA30" s="674"/>
      <c r="AB30" s="674"/>
      <c r="AC30" s="674"/>
      <c r="AD30" s="674"/>
      <c r="AE30" s="674"/>
      <c r="AF30" s="674"/>
      <c r="AG30" s="674"/>
      <c r="AH30" s="873">
        <v>99.2</v>
      </c>
      <c r="AI30" s="674"/>
      <c r="AJ30" s="674"/>
      <c r="AK30" s="674"/>
      <c r="AL30" s="674"/>
      <c r="AM30" s="674"/>
      <c r="AN30" s="674"/>
      <c r="AO30" s="674"/>
      <c r="AP30" s="674"/>
      <c r="AQ30" s="674"/>
    </row>
    <row r="31" spans="2:44" s="709" customFormat="1">
      <c r="B31" s="876"/>
      <c r="C31" s="710"/>
      <c r="D31" s="865" t="s">
        <v>1600</v>
      </c>
      <c r="E31" s="878"/>
      <c r="F31" s="878"/>
      <c r="G31" s="875">
        <v>8.09</v>
      </c>
      <c r="H31" s="875"/>
      <c r="I31" s="875"/>
      <c r="J31" s="875" t="s">
        <v>1817</v>
      </c>
      <c r="K31" s="875" t="s">
        <v>1817</v>
      </c>
      <c r="L31" s="875" t="s">
        <v>1818</v>
      </c>
      <c r="M31" s="875" t="s">
        <v>1818</v>
      </c>
      <c r="N31" s="875"/>
      <c r="O31" s="875"/>
      <c r="P31" s="875">
        <v>8.09</v>
      </c>
      <c r="Q31" s="875"/>
      <c r="R31" s="875"/>
      <c r="S31" s="875"/>
      <c r="T31" s="875"/>
      <c r="U31" s="875"/>
      <c r="V31" s="875"/>
      <c r="W31" s="875"/>
      <c r="X31" s="875"/>
      <c r="Y31" s="877">
        <v>1</v>
      </c>
      <c r="Z31" s="875"/>
      <c r="AA31" s="875"/>
      <c r="AB31" s="875"/>
      <c r="AC31" s="875"/>
      <c r="AD31" s="875"/>
      <c r="AE31" s="875"/>
      <c r="AF31" s="875"/>
      <c r="AG31" s="875"/>
      <c r="AH31" s="875"/>
      <c r="AI31" s="875"/>
      <c r="AJ31" s="875"/>
      <c r="AK31" s="875"/>
      <c r="AL31" s="875"/>
      <c r="AM31" s="875"/>
      <c r="AN31" s="875"/>
      <c r="AO31" s="875"/>
      <c r="AP31" s="875"/>
      <c r="AQ31" s="875" t="s">
        <v>1819</v>
      </c>
    </row>
    <row r="32" spans="2:44">
      <c r="B32" s="818"/>
      <c r="C32" s="704"/>
      <c r="D32" s="705" t="s">
        <v>1604</v>
      </c>
      <c r="E32" s="673"/>
      <c r="F32" s="694"/>
      <c r="G32" s="674">
        <v>12.01</v>
      </c>
      <c r="H32" s="674"/>
      <c r="I32" s="674"/>
      <c r="J32" s="674" t="s">
        <v>1820</v>
      </c>
      <c r="K32" s="674" t="s">
        <v>1820</v>
      </c>
      <c r="L32" s="674" t="s">
        <v>1821</v>
      </c>
      <c r="M32" s="674" t="s">
        <v>1821</v>
      </c>
      <c r="N32" s="674"/>
      <c r="O32" s="674"/>
      <c r="P32" s="674">
        <v>12.01</v>
      </c>
      <c r="Q32" s="674"/>
      <c r="R32" s="674"/>
      <c r="S32" s="674"/>
      <c r="T32" s="674"/>
      <c r="U32" s="674"/>
      <c r="V32" s="674"/>
      <c r="W32" s="674"/>
      <c r="X32" s="674"/>
      <c r="Y32" s="863">
        <v>1</v>
      </c>
      <c r="Z32" s="674"/>
      <c r="AA32" s="674"/>
      <c r="AB32" s="674"/>
      <c r="AC32" s="674"/>
      <c r="AD32" s="674"/>
      <c r="AE32" s="674"/>
      <c r="AF32" s="674"/>
      <c r="AG32" s="674"/>
      <c r="AH32" s="674">
        <v>12.01</v>
      </c>
      <c r="AI32" s="674"/>
      <c r="AJ32" s="674"/>
      <c r="AK32" s="674"/>
      <c r="AL32" s="674"/>
      <c r="AM32" s="674"/>
      <c r="AN32" s="674"/>
      <c r="AO32" s="674"/>
      <c r="AP32" s="674"/>
      <c r="AQ32" s="674"/>
    </row>
    <row r="33" spans="2:43">
      <c r="B33" s="818"/>
      <c r="C33" s="704"/>
      <c r="D33" s="705" t="s">
        <v>1612</v>
      </c>
      <c r="E33" s="694"/>
      <c r="F33" s="694"/>
      <c r="G33" s="674">
        <v>22.35</v>
      </c>
      <c r="H33" s="674"/>
      <c r="I33" s="674"/>
      <c r="J33" s="674" t="s">
        <v>1822</v>
      </c>
      <c r="K33" s="674" t="s">
        <v>1822</v>
      </c>
      <c r="L33" s="674" t="s">
        <v>1823</v>
      </c>
      <c r="M33" s="674" t="s">
        <v>1823</v>
      </c>
      <c r="N33" s="674"/>
      <c r="O33" s="674"/>
      <c r="P33" s="674">
        <v>22.35</v>
      </c>
      <c r="Q33" s="674"/>
      <c r="R33" s="674"/>
      <c r="S33" s="674"/>
      <c r="T33" s="674"/>
      <c r="U33" s="674"/>
      <c r="V33" s="674"/>
      <c r="W33" s="674"/>
      <c r="X33" s="674"/>
      <c r="Y33" s="863">
        <v>1</v>
      </c>
      <c r="Z33" s="674"/>
      <c r="AA33" s="674"/>
      <c r="AB33" s="674"/>
      <c r="AC33" s="674"/>
      <c r="AD33" s="674"/>
      <c r="AE33" s="674"/>
      <c r="AF33" s="674"/>
      <c r="AG33" s="674"/>
      <c r="AH33" s="674">
        <v>22.35</v>
      </c>
      <c r="AI33" s="674"/>
      <c r="AJ33" s="674"/>
      <c r="AK33" s="674"/>
      <c r="AL33" s="674"/>
      <c r="AM33" s="674"/>
      <c r="AN33" s="674"/>
      <c r="AO33" s="674"/>
      <c r="AP33" s="674"/>
      <c r="AQ33" s="674"/>
    </row>
    <row r="34" spans="2:43" s="709" customFormat="1" ht="30">
      <c r="B34" s="876"/>
      <c r="C34" s="710"/>
      <c r="D34" s="865" t="s">
        <v>1615</v>
      </c>
      <c r="E34" s="879" t="s">
        <v>1711</v>
      </c>
      <c r="F34" s="875"/>
      <c r="G34" s="875">
        <v>49.45</v>
      </c>
      <c r="H34" s="875"/>
      <c r="I34" s="875"/>
      <c r="J34" s="875" t="s">
        <v>1824</v>
      </c>
      <c r="K34" s="875" t="s">
        <v>1824</v>
      </c>
      <c r="L34" s="875" t="s">
        <v>1825</v>
      </c>
      <c r="M34" s="880" t="s">
        <v>1825</v>
      </c>
      <c r="N34" s="875"/>
      <c r="O34" s="875"/>
      <c r="P34" s="875">
        <v>49.45</v>
      </c>
      <c r="Q34" s="875"/>
      <c r="R34" s="875"/>
      <c r="S34" s="875"/>
      <c r="T34" s="875"/>
      <c r="U34" s="875"/>
      <c r="V34" s="875"/>
      <c r="W34" s="875"/>
      <c r="X34" s="875"/>
      <c r="Y34" s="877">
        <v>1</v>
      </c>
      <c r="Z34" s="875"/>
      <c r="AA34" s="875"/>
      <c r="AB34" s="875"/>
      <c r="AC34" s="875"/>
      <c r="AD34" s="875"/>
      <c r="AE34" s="875"/>
      <c r="AF34" s="875"/>
      <c r="AG34" s="875"/>
      <c r="AH34" s="875">
        <v>49.45</v>
      </c>
      <c r="AI34" s="875"/>
      <c r="AJ34" s="875"/>
      <c r="AK34" s="875"/>
      <c r="AL34" s="875"/>
      <c r="AM34" s="875"/>
      <c r="AN34" s="875"/>
      <c r="AO34" s="875"/>
      <c r="AP34" s="875"/>
      <c r="AQ34" s="881"/>
    </row>
    <row r="35" spans="2:43" ht="120">
      <c r="B35" s="818"/>
      <c r="C35" s="704"/>
      <c r="D35" s="882" t="s">
        <v>1888</v>
      </c>
      <c r="E35" s="862" t="s">
        <v>1711</v>
      </c>
      <c r="F35" s="674" t="s">
        <v>1712</v>
      </c>
      <c r="G35" s="674"/>
      <c r="H35" s="674"/>
      <c r="I35" s="674"/>
      <c r="J35" s="674" t="s">
        <v>1826</v>
      </c>
      <c r="K35" s="674" t="s">
        <v>1826</v>
      </c>
      <c r="L35" s="883" t="s">
        <v>1827</v>
      </c>
      <c r="M35" s="883" t="s">
        <v>1827</v>
      </c>
      <c r="N35" s="674"/>
      <c r="O35" s="674"/>
      <c r="P35" s="674">
        <v>0</v>
      </c>
      <c r="Q35" s="674">
        <v>0</v>
      </c>
      <c r="R35" s="873"/>
      <c r="S35" s="674"/>
      <c r="T35" s="674"/>
      <c r="U35" s="674"/>
      <c r="V35" s="674"/>
      <c r="W35" s="674"/>
      <c r="X35" s="674"/>
      <c r="Y35" s="863">
        <v>0</v>
      </c>
      <c r="Z35" s="863">
        <v>0</v>
      </c>
      <c r="AA35" s="863">
        <v>1</v>
      </c>
      <c r="AB35" s="674"/>
      <c r="AC35" s="674"/>
      <c r="AD35" s="674"/>
      <c r="AE35" s="674"/>
      <c r="AF35" s="674"/>
      <c r="AG35" s="674"/>
      <c r="AH35" s="674">
        <v>0</v>
      </c>
      <c r="AI35" s="674">
        <v>0</v>
      </c>
      <c r="AJ35" s="873"/>
      <c r="AK35" s="674"/>
      <c r="AL35" s="674"/>
      <c r="AM35" s="674"/>
      <c r="AN35" s="674"/>
      <c r="AO35" s="674"/>
      <c r="AP35" s="674"/>
      <c r="AQ35" s="862" t="s">
        <v>1828</v>
      </c>
    </row>
    <row r="36" spans="2:43">
      <c r="B36" s="818"/>
      <c r="C36" s="704"/>
      <c r="D36" s="705" t="s">
        <v>1889</v>
      </c>
      <c r="E36" s="673"/>
      <c r="F36" s="673"/>
      <c r="G36" s="875"/>
      <c r="H36" s="674"/>
      <c r="I36" s="674"/>
      <c r="J36" s="875"/>
      <c r="K36" s="674"/>
      <c r="L36" s="674"/>
      <c r="M36" s="674"/>
      <c r="N36" s="674"/>
      <c r="O36" s="674">
        <v>4.3099999999999996</v>
      </c>
      <c r="P36" s="674"/>
      <c r="Q36" s="674"/>
      <c r="R36" s="674"/>
      <c r="S36" s="674"/>
      <c r="T36" s="674"/>
      <c r="U36" s="674"/>
      <c r="V36" s="674"/>
      <c r="W36" s="674"/>
      <c r="X36" s="674"/>
      <c r="Y36" s="674"/>
      <c r="Z36" s="674"/>
      <c r="AA36" s="674"/>
      <c r="AB36" s="674"/>
      <c r="AC36" s="674"/>
      <c r="AD36" s="674"/>
      <c r="AE36" s="674"/>
      <c r="AF36" s="674"/>
      <c r="AG36" s="674"/>
      <c r="AH36" s="674"/>
      <c r="AI36" s="674"/>
      <c r="AJ36" s="674"/>
      <c r="AK36" s="674"/>
      <c r="AL36" s="674"/>
      <c r="AM36" s="674"/>
      <c r="AN36" s="674"/>
      <c r="AO36" s="674"/>
      <c r="AP36" s="674"/>
      <c r="AQ36" s="674"/>
    </row>
    <row r="37" spans="2:43">
      <c r="B37" s="818"/>
      <c r="C37" s="704"/>
      <c r="D37" s="705" t="s">
        <v>1620</v>
      </c>
      <c r="E37" s="673"/>
      <c r="F37" s="673"/>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674"/>
      <c r="AM37" s="674"/>
      <c r="AN37" s="674"/>
      <c r="AO37" s="674"/>
      <c r="AP37" s="674"/>
      <c r="AQ37" s="674"/>
    </row>
    <row r="38" spans="2:43">
      <c r="B38" s="818"/>
      <c r="C38" s="704"/>
      <c r="D38" s="705" t="s">
        <v>1621</v>
      </c>
      <c r="E38" s="673"/>
      <c r="F38" s="673"/>
      <c r="G38" s="674"/>
      <c r="H38" s="674"/>
      <c r="I38" s="674"/>
      <c r="J38" s="674"/>
      <c r="K38" s="674"/>
      <c r="L38" s="674"/>
      <c r="M38" s="674"/>
      <c r="N38" s="674"/>
      <c r="O38" s="674"/>
      <c r="P38" s="674"/>
      <c r="Q38" s="674"/>
      <c r="R38" s="674"/>
      <c r="S38" s="674"/>
      <c r="T38" s="674"/>
      <c r="U38" s="674"/>
      <c r="V38" s="674"/>
      <c r="W38" s="674"/>
      <c r="X38" s="674"/>
      <c r="Y38" s="674"/>
      <c r="Z38" s="674"/>
      <c r="AA38" s="674"/>
      <c r="AB38" s="674"/>
      <c r="AC38" s="674"/>
      <c r="AD38" s="674"/>
      <c r="AE38" s="674"/>
      <c r="AF38" s="674"/>
      <c r="AG38" s="674"/>
      <c r="AH38" s="674"/>
      <c r="AI38" s="674"/>
      <c r="AJ38" s="674"/>
      <c r="AK38" s="674"/>
      <c r="AL38" s="674"/>
      <c r="AM38" s="674"/>
      <c r="AN38" s="674"/>
      <c r="AO38" s="674"/>
      <c r="AP38" s="674"/>
      <c r="AQ38" s="674"/>
    </row>
    <row r="39" spans="2:43" ht="60">
      <c r="B39" s="818"/>
      <c r="C39" s="704"/>
      <c r="D39" s="705" t="s">
        <v>1622</v>
      </c>
      <c r="E39" s="673"/>
      <c r="F39" s="673"/>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674"/>
      <c r="AM39" s="674"/>
      <c r="AN39" s="674"/>
      <c r="AO39" s="674"/>
      <c r="AP39" s="674"/>
      <c r="AQ39" s="884" t="s">
        <v>1829</v>
      </c>
    </row>
    <row r="40" spans="2:43" ht="30">
      <c r="B40" s="818"/>
      <c r="C40" s="704"/>
      <c r="D40" s="736" t="s">
        <v>1207</v>
      </c>
      <c r="E40" s="885" t="s">
        <v>1625</v>
      </c>
      <c r="F40" s="792"/>
      <c r="G40" s="674"/>
      <c r="H40" s="674"/>
      <c r="I40" s="674"/>
      <c r="J40" s="674"/>
      <c r="K40" s="674"/>
      <c r="L40" s="674"/>
      <c r="M40" s="674"/>
      <c r="N40" s="674"/>
      <c r="O40" s="674">
        <v>30.98</v>
      </c>
      <c r="P40" s="674"/>
      <c r="Q40" s="674"/>
      <c r="R40" s="674"/>
      <c r="S40" s="674"/>
      <c r="T40" s="674"/>
      <c r="U40" s="674"/>
      <c r="V40" s="674"/>
      <c r="W40" s="674"/>
      <c r="X40" s="674"/>
      <c r="Y40" s="674"/>
      <c r="Z40" s="674"/>
      <c r="AA40" s="674"/>
      <c r="AB40" s="674"/>
      <c r="AC40" s="674"/>
      <c r="AD40" s="674"/>
      <c r="AE40" s="674"/>
      <c r="AF40" s="674"/>
      <c r="AG40" s="674"/>
      <c r="AH40" s="674"/>
      <c r="AI40" s="674"/>
      <c r="AJ40" s="674"/>
      <c r="AK40" s="674"/>
      <c r="AL40" s="674"/>
      <c r="AM40" s="674"/>
      <c r="AN40" s="674"/>
      <c r="AO40" s="674"/>
      <c r="AP40" s="674"/>
      <c r="AQ40" s="884" t="s">
        <v>1830</v>
      </c>
    </row>
    <row r="41" spans="2:43" ht="90">
      <c r="B41" s="818"/>
      <c r="C41" s="704"/>
      <c r="D41" s="736" t="s">
        <v>1626</v>
      </c>
      <c r="E41" s="673" t="s">
        <v>1625</v>
      </c>
      <c r="F41" s="673"/>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674"/>
      <c r="AM41" s="674"/>
      <c r="AN41" s="674"/>
      <c r="AO41" s="674"/>
      <c r="AP41" s="674"/>
      <c r="AQ41" s="884" t="s">
        <v>1831</v>
      </c>
    </row>
    <row r="42" spans="2:43">
      <c r="B42" s="818"/>
      <c r="C42" s="704"/>
      <c r="D42" s="736" t="s">
        <v>1627</v>
      </c>
      <c r="E42" s="673"/>
      <c r="F42" s="673"/>
      <c r="G42" s="674"/>
      <c r="H42" s="674"/>
      <c r="I42" s="674"/>
      <c r="J42" s="674"/>
      <c r="K42" s="674"/>
      <c r="L42" s="674"/>
      <c r="M42" s="674"/>
      <c r="N42" s="674"/>
      <c r="O42" s="674"/>
      <c r="P42" s="674"/>
      <c r="Q42" s="674"/>
      <c r="R42" s="674"/>
      <c r="S42" s="674"/>
      <c r="T42" s="674"/>
      <c r="U42" s="674"/>
      <c r="V42" s="674"/>
      <c r="W42" s="674"/>
      <c r="X42" s="674"/>
      <c r="Y42" s="674"/>
      <c r="Z42" s="674"/>
      <c r="AA42" s="674"/>
      <c r="AB42" s="674"/>
      <c r="AC42" s="674"/>
      <c r="AD42" s="674"/>
      <c r="AE42" s="674"/>
      <c r="AF42" s="674"/>
      <c r="AG42" s="674"/>
      <c r="AH42" s="674"/>
      <c r="AI42" s="674"/>
      <c r="AJ42" s="674"/>
      <c r="AK42" s="674"/>
      <c r="AL42" s="674"/>
      <c r="AM42" s="674"/>
      <c r="AN42" s="674"/>
      <c r="AO42" s="674"/>
      <c r="AP42" s="674"/>
      <c r="AQ42" s="674" t="s">
        <v>1832</v>
      </c>
    </row>
    <row r="43" spans="2:43">
      <c r="B43" s="818"/>
      <c r="C43" s="704"/>
      <c r="D43" s="736" t="s">
        <v>1628</v>
      </c>
      <c r="E43" s="673"/>
      <c r="F43" s="673"/>
      <c r="G43" s="674"/>
      <c r="H43" s="674"/>
      <c r="I43" s="674"/>
      <c r="J43" s="862" t="s">
        <v>1629</v>
      </c>
      <c r="K43" s="862" t="s">
        <v>1629</v>
      </c>
      <c r="L43" s="674" t="s">
        <v>1833</v>
      </c>
      <c r="M43" s="674" t="s">
        <v>1833</v>
      </c>
      <c r="N43" s="674"/>
      <c r="O43" s="862"/>
      <c r="P43" s="674"/>
      <c r="Q43" s="674"/>
      <c r="R43" s="674">
        <v>99.83</v>
      </c>
      <c r="S43" s="674"/>
      <c r="T43" s="674"/>
      <c r="U43" s="674"/>
      <c r="V43" s="674"/>
      <c r="W43" s="674"/>
      <c r="X43" s="674"/>
      <c r="Y43" s="674"/>
      <c r="Z43" s="674"/>
      <c r="AA43" s="863">
        <v>1</v>
      </c>
      <c r="AB43" s="674"/>
      <c r="AC43" s="674"/>
      <c r="AD43" s="674"/>
      <c r="AE43" s="674"/>
      <c r="AF43" s="674"/>
      <c r="AG43" s="674"/>
      <c r="AH43" s="674"/>
      <c r="AI43" s="674"/>
      <c r="AJ43" s="674"/>
      <c r="AK43" s="674"/>
      <c r="AL43" s="674"/>
      <c r="AM43" s="674"/>
      <c r="AN43" s="674"/>
      <c r="AO43" s="674"/>
      <c r="AP43" s="674"/>
      <c r="AQ43" s="674"/>
    </row>
    <row r="44" spans="2:43">
      <c r="B44" s="818"/>
      <c r="C44" s="704"/>
      <c r="D44" s="736" t="s">
        <v>1631</v>
      </c>
      <c r="E44" s="673"/>
      <c r="F44" s="673"/>
      <c r="G44" s="674"/>
      <c r="H44" s="674"/>
      <c r="I44" s="674"/>
      <c r="J44" s="674" t="s">
        <v>1834</v>
      </c>
      <c r="K44" s="674" t="s">
        <v>1835</v>
      </c>
      <c r="L44" s="674" t="s">
        <v>1836</v>
      </c>
      <c r="M44" s="674" t="s">
        <v>1836</v>
      </c>
      <c r="N44" s="674"/>
      <c r="O44" s="674"/>
      <c r="P44" s="674"/>
      <c r="Q44" s="674">
        <v>38.090000000000003</v>
      </c>
      <c r="R44" s="674"/>
      <c r="S44" s="674"/>
      <c r="T44" s="674"/>
      <c r="U44" s="674"/>
      <c r="V44" s="674"/>
      <c r="W44" s="674"/>
      <c r="X44" s="674"/>
      <c r="Y44" s="674"/>
      <c r="Z44" s="863">
        <v>1</v>
      </c>
      <c r="AA44" s="674"/>
      <c r="AB44" s="674"/>
      <c r="AC44" s="674"/>
      <c r="AD44" s="674"/>
      <c r="AE44" s="674"/>
      <c r="AF44" s="674"/>
      <c r="AG44" s="674"/>
      <c r="AH44" s="674"/>
      <c r="AI44" s="674"/>
      <c r="AJ44" s="674"/>
      <c r="AK44" s="674"/>
      <c r="AL44" s="674"/>
      <c r="AM44" s="674"/>
      <c r="AN44" s="674"/>
      <c r="AO44" s="674"/>
      <c r="AP44" s="674"/>
      <c r="AQ44" s="674"/>
    </row>
    <row r="45" spans="2:43">
      <c r="B45" s="818"/>
      <c r="C45" s="704"/>
      <c r="D45" s="736" t="s">
        <v>1632</v>
      </c>
      <c r="E45" s="673"/>
      <c r="F45" s="673"/>
      <c r="G45" s="674"/>
      <c r="H45" s="674"/>
      <c r="I45" s="674"/>
      <c r="J45" s="674"/>
      <c r="K45" s="674"/>
      <c r="L45" s="674"/>
      <c r="M45" s="674"/>
      <c r="N45" s="674"/>
      <c r="O45" s="674"/>
      <c r="P45" s="674"/>
      <c r="Q45" s="674"/>
      <c r="R45" s="674"/>
      <c r="S45" s="674"/>
      <c r="T45" s="674"/>
      <c r="U45" s="674"/>
      <c r="V45" s="674"/>
      <c r="W45" s="674"/>
      <c r="X45" s="674"/>
      <c r="Y45" s="674"/>
      <c r="Z45" s="674"/>
      <c r="AA45" s="674"/>
      <c r="AB45" s="674"/>
      <c r="AC45" s="674"/>
      <c r="AD45" s="674"/>
      <c r="AE45" s="674"/>
      <c r="AF45" s="674"/>
      <c r="AG45" s="674"/>
      <c r="AH45" s="674"/>
      <c r="AI45" s="674"/>
      <c r="AJ45" s="674"/>
      <c r="AK45" s="674"/>
      <c r="AL45" s="674"/>
      <c r="AM45" s="674"/>
      <c r="AN45" s="674"/>
      <c r="AO45" s="674"/>
      <c r="AP45" s="674"/>
      <c r="AQ45" s="674"/>
    </row>
    <row r="46" spans="2:43">
      <c r="B46" s="818"/>
      <c r="C46" s="685" t="s">
        <v>278</v>
      </c>
      <c r="D46" s="736" t="s">
        <v>1633</v>
      </c>
      <c r="E46" s="673"/>
      <c r="F46" s="673"/>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674"/>
      <c r="AP46" s="674"/>
      <c r="AQ46" s="674"/>
    </row>
    <row r="47" spans="2:43">
      <c r="B47" s="818"/>
      <c r="C47" s="695"/>
      <c r="D47" s="736" t="s">
        <v>1837</v>
      </c>
      <c r="E47" s="673"/>
      <c r="F47" s="673"/>
      <c r="G47" s="674"/>
      <c r="H47" s="674"/>
      <c r="I47" s="674"/>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4"/>
      <c r="AL47" s="674"/>
      <c r="AM47" s="674"/>
      <c r="AN47" s="674"/>
      <c r="AO47" s="674"/>
      <c r="AP47" s="674"/>
      <c r="AQ47" s="674"/>
    </row>
    <row r="48" spans="2:43">
      <c r="B48" s="818"/>
      <c r="C48" s="695"/>
      <c r="D48" s="736" t="s">
        <v>1838</v>
      </c>
      <c r="E48" s="673"/>
      <c r="F48" s="673"/>
      <c r="G48" s="674"/>
      <c r="H48" s="674"/>
      <c r="I48" s="674"/>
      <c r="L48" s="674"/>
      <c r="M48" s="674"/>
      <c r="N48" s="674"/>
      <c r="O48" s="674"/>
      <c r="P48" s="674">
        <v>15.56</v>
      </c>
      <c r="Q48" s="674"/>
      <c r="R48" s="674"/>
      <c r="S48" s="674"/>
      <c r="T48" s="674"/>
      <c r="U48" s="674"/>
      <c r="V48" s="674"/>
      <c r="W48" s="674"/>
      <c r="X48" s="674"/>
      <c r="Y48" s="863">
        <v>1</v>
      </c>
      <c r="Z48" s="674"/>
      <c r="AA48" s="674"/>
      <c r="AB48" s="674"/>
      <c r="AC48" s="674"/>
      <c r="AD48" s="674"/>
      <c r="AE48" s="674"/>
      <c r="AF48" s="674"/>
      <c r="AG48" s="674"/>
      <c r="AH48" s="674">
        <v>15.56</v>
      </c>
      <c r="AI48" s="674"/>
      <c r="AJ48" s="674"/>
      <c r="AK48" s="674"/>
      <c r="AL48" s="674"/>
      <c r="AM48" s="674"/>
      <c r="AN48" s="674"/>
      <c r="AO48" s="674"/>
      <c r="AP48" s="674"/>
      <c r="AQ48" s="674"/>
    </row>
    <row r="49" spans="2:46">
      <c r="B49" s="818"/>
      <c r="C49" s="695"/>
      <c r="D49" s="744" t="s">
        <v>1635</v>
      </c>
      <c r="E49" s="673"/>
      <c r="F49" s="673"/>
      <c r="G49" s="674"/>
      <c r="H49" s="674"/>
      <c r="I49" s="674"/>
      <c r="L49" s="674"/>
      <c r="M49" s="674"/>
      <c r="N49" s="674"/>
      <c r="O49" s="674"/>
      <c r="P49" s="674"/>
      <c r="Q49" s="674"/>
      <c r="R49" s="674"/>
      <c r="S49" s="674"/>
      <c r="T49" s="674"/>
      <c r="U49" s="674"/>
      <c r="V49" s="674"/>
      <c r="W49" s="674"/>
      <c r="X49" s="674"/>
      <c r="Y49" s="863">
        <v>1</v>
      </c>
      <c r="Z49" s="674"/>
      <c r="AA49" s="674"/>
      <c r="AB49" s="674"/>
      <c r="AC49" s="674"/>
      <c r="AD49" s="674"/>
      <c r="AE49" s="674"/>
      <c r="AF49" s="674"/>
      <c r="AG49" s="674"/>
      <c r="AH49" s="674">
        <v>7.5</v>
      </c>
      <c r="AI49" s="674"/>
      <c r="AJ49" s="674"/>
      <c r="AK49" s="674"/>
      <c r="AL49" s="674"/>
      <c r="AM49" s="674"/>
      <c r="AN49" s="674"/>
      <c r="AO49" s="674"/>
      <c r="AP49" s="674"/>
      <c r="AQ49" s="674"/>
    </row>
    <row r="50" spans="2:46">
      <c r="B50" s="818"/>
      <c r="C50" s="695"/>
      <c r="D50" s="736" t="s">
        <v>1634</v>
      </c>
      <c r="E50" s="673"/>
      <c r="F50" s="673"/>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674"/>
      <c r="AM50" s="674"/>
      <c r="AN50" s="674"/>
      <c r="AO50" s="674"/>
      <c r="AP50" s="674"/>
      <c r="AQ50" s="674"/>
    </row>
    <row r="51" spans="2:46" ht="30">
      <c r="B51" s="818"/>
      <c r="C51" s="704"/>
      <c r="D51" s="886" t="s">
        <v>1637</v>
      </c>
      <c r="E51" s="673"/>
      <c r="F51" s="673"/>
      <c r="G51" s="673"/>
      <c r="H51" s="673"/>
      <c r="I51" s="673"/>
      <c r="J51" s="887" t="s">
        <v>1839</v>
      </c>
      <c r="K51" s="887" t="s">
        <v>1839</v>
      </c>
      <c r="L51" s="887" t="s">
        <v>1840</v>
      </c>
      <c r="M51" s="887" t="s">
        <v>1840</v>
      </c>
      <c r="N51" s="885"/>
      <c r="O51" s="673"/>
      <c r="P51" s="673">
        <v>32.770000000000003</v>
      </c>
      <c r="Q51" s="673"/>
      <c r="R51" s="888"/>
      <c r="S51" s="673"/>
      <c r="T51" s="673"/>
      <c r="U51" s="673"/>
      <c r="V51" s="673"/>
      <c r="W51" s="673"/>
      <c r="X51" s="673"/>
      <c r="Y51" s="889">
        <v>1</v>
      </c>
      <c r="Z51" s="673"/>
      <c r="AA51" s="673"/>
      <c r="AB51" s="673"/>
      <c r="AC51" s="673"/>
      <c r="AD51" s="673"/>
      <c r="AE51" s="673"/>
      <c r="AF51" s="673"/>
      <c r="AG51" s="673"/>
      <c r="AH51" s="673">
        <v>58.25</v>
      </c>
      <c r="AI51" s="673"/>
      <c r="AJ51" s="673"/>
      <c r="AK51" s="673"/>
      <c r="AL51" s="673"/>
      <c r="AM51" s="673"/>
      <c r="AN51" s="673"/>
      <c r="AO51" s="673"/>
      <c r="AP51" s="673"/>
      <c r="AQ51" s="673"/>
    </row>
    <row r="52" spans="2:46" ht="30">
      <c r="B52" s="818"/>
      <c r="C52" s="704"/>
      <c r="D52" s="886" t="s">
        <v>1638</v>
      </c>
      <c r="E52" s="673"/>
      <c r="F52" s="673"/>
      <c r="G52" s="673"/>
      <c r="H52" s="673"/>
      <c r="I52" s="673"/>
      <c r="J52" s="887" t="s">
        <v>1839</v>
      </c>
      <c r="K52" s="887" t="s">
        <v>1839</v>
      </c>
      <c r="L52" s="887" t="s">
        <v>1840</v>
      </c>
      <c r="M52" s="887" t="s">
        <v>1840</v>
      </c>
      <c r="N52" s="885"/>
      <c r="P52" s="673">
        <v>8.8699999999999992</v>
      </c>
      <c r="Q52" s="673"/>
      <c r="R52" s="888"/>
      <c r="S52" s="673"/>
      <c r="T52" s="673"/>
      <c r="U52" s="673"/>
      <c r="V52" s="673"/>
      <c r="W52" s="673"/>
      <c r="X52" s="673"/>
      <c r="Y52" s="889">
        <v>1</v>
      </c>
      <c r="Z52" s="673"/>
      <c r="AA52" s="673"/>
      <c r="AB52" s="673"/>
      <c r="AC52" s="673"/>
      <c r="AD52" s="673"/>
      <c r="AE52" s="673"/>
      <c r="AF52" s="673"/>
      <c r="AG52" s="673"/>
      <c r="AH52" s="673"/>
      <c r="AI52" s="673"/>
      <c r="AJ52" s="673"/>
      <c r="AK52" s="673"/>
      <c r="AL52" s="673"/>
      <c r="AM52" s="673"/>
      <c r="AN52" s="673"/>
      <c r="AO52" s="673"/>
      <c r="AP52" s="673"/>
      <c r="AQ52" s="673"/>
    </row>
    <row r="53" spans="2:46">
      <c r="B53" s="818"/>
      <c r="C53" s="695"/>
      <c r="D53" s="744"/>
      <c r="E53" s="697"/>
      <c r="F53" s="697"/>
      <c r="G53" s="674"/>
      <c r="H53" s="674"/>
      <c r="I53" s="674"/>
      <c r="J53" s="674"/>
      <c r="K53" s="674"/>
      <c r="L53" s="674"/>
      <c r="M53" s="674"/>
      <c r="N53" s="674"/>
      <c r="O53" s="674"/>
      <c r="P53" s="674"/>
      <c r="Q53" s="674"/>
      <c r="R53" s="674"/>
      <c r="S53" s="674"/>
      <c r="T53" s="674"/>
      <c r="U53" s="674"/>
      <c r="V53" s="674"/>
      <c r="W53" s="674"/>
      <c r="X53" s="674"/>
      <c r="Y53" s="674"/>
      <c r="Z53" s="674"/>
      <c r="AA53" s="674"/>
      <c r="AB53" s="674"/>
      <c r="AC53" s="674"/>
      <c r="AD53" s="674"/>
      <c r="AE53" s="674"/>
      <c r="AF53" s="674"/>
      <c r="AG53" s="674"/>
      <c r="AH53" s="674"/>
      <c r="AI53" s="674"/>
      <c r="AJ53" s="674"/>
      <c r="AK53" s="674"/>
      <c r="AL53" s="674"/>
      <c r="AM53" s="674"/>
      <c r="AN53" s="674"/>
      <c r="AO53" s="674"/>
      <c r="AP53" s="674"/>
      <c r="AQ53" s="674"/>
    </row>
    <row r="54" spans="2:46">
      <c r="B54" s="818"/>
      <c r="C54" s="695"/>
      <c r="D54" s="744"/>
      <c r="E54" s="697"/>
      <c r="F54" s="697"/>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674"/>
      <c r="AK54" s="674"/>
      <c r="AL54" s="674"/>
      <c r="AM54" s="674"/>
      <c r="AN54" s="674"/>
      <c r="AO54" s="674"/>
      <c r="AP54" s="674"/>
      <c r="AQ54" s="674"/>
    </row>
    <row r="55" spans="2:46">
      <c r="B55" s="818"/>
      <c r="C55" s="695"/>
      <c r="D55" s="744"/>
      <c r="E55" s="697"/>
      <c r="F55" s="697"/>
      <c r="G55" s="674"/>
      <c r="H55" s="674"/>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674"/>
      <c r="AH55" s="674"/>
      <c r="AI55" s="674"/>
      <c r="AJ55" s="674"/>
      <c r="AK55" s="674"/>
      <c r="AL55" s="674"/>
      <c r="AM55" s="674"/>
      <c r="AN55" s="674"/>
      <c r="AO55" s="674"/>
      <c r="AP55" s="674"/>
      <c r="AQ55" s="674"/>
    </row>
    <row r="56" spans="2:46">
      <c r="B56" s="818"/>
      <c r="C56" s="695"/>
      <c r="D56" s="744"/>
      <c r="E56" s="697"/>
      <c r="F56" s="697"/>
      <c r="G56" s="674"/>
      <c r="H56" s="674"/>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674"/>
      <c r="AH56" s="674"/>
      <c r="AI56" s="674"/>
      <c r="AJ56" s="674"/>
      <c r="AK56" s="674"/>
      <c r="AL56" s="674"/>
      <c r="AM56" s="674"/>
      <c r="AN56" s="674"/>
      <c r="AO56" s="674"/>
      <c r="AP56" s="674"/>
      <c r="AQ56" s="674"/>
    </row>
    <row r="57" spans="2:46" ht="15.75" thickBot="1">
      <c r="B57" s="818"/>
      <c r="C57" s="748" t="s">
        <v>278</v>
      </c>
      <c r="D57" s="749"/>
      <c r="E57" s="750"/>
      <c r="F57" s="750"/>
      <c r="G57" s="674"/>
      <c r="H57" s="674"/>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4"/>
      <c r="AM57" s="674"/>
      <c r="AN57" s="674"/>
      <c r="AO57" s="674"/>
      <c r="AP57" s="674"/>
      <c r="AQ57" s="674"/>
      <c r="AS57" s="674"/>
      <c r="AT57" s="112">
        <f>SUM(AH13:AH52)</f>
        <v>545.68000000000006</v>
      </c>
    </row>
    <row r="58" spans="2:46">
      <c r="B58" s="818"/>
      <c r="C58" s="764"/>
      <c r="D58" s="701"/>
      <c r="E58" s="668"/>
      <c r="F58" s="668"/>
      <c r="G58" s="674"/>
      <c r="H58" s="674"/>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4"/>
      <c r="AG58" s="674"/>
      <c r="AI58" s="674"/>
      <c r="AJ58" s="674"/>
      <c r="AK58" s="674"/>
      <c r="AL58" s="674"/>
      <c r="AM58" s="674"/>
      <c r="AN58" s="674"/>
      <c r="AO58" s="674"/>
      <c r="AP58" s="674"/>
      <c r="AQ58" s="674"/>
    </row>
    <row r="59" spans="2:46">
      <c r="B59" s="818"/>
      <c r="C59" s="704" t="s">
        <v>59</v>
      </c>
      <c r="D59" s="672"/>
      <c r="E59" s="673"/>
      <c r="F59" s="673"/>
      <c r="G59" s="674"/>
      <c r="H59" s="674"/>
      <c r="I59" s="674"/>
      <c r="J59" s="674"/>
      <c r="K59" s="674"/>
      <c r="L59" s="674"/>
      <c r="M59" s="674"/>
      <c r="N59" s="674"/>
      <c r="O59" s="674"/>
      <c r="P59" s="674"/>
      <c r="Q59" s="674"/>
      <c r="R59" s="674"/>
      <c r="S59" s="674"/>
      <c r="T59" s="674"/>
      <c r="U59" s="674"/>
      <c r="V59" s="674"/>
      <c r="W59" s="674"/>
      <c r="X59" s="674"/>
      <c r="Y59" s="674"/>
      <c r="Z59" s="674"/>
      <c r="AA59" s="674"/>
      <c r="AB59" s="674"/>
      <c r="AC59" s="674"/>
      <c r="AD59" s="674"/>
      <c r="AE59" s="674"/>
      <c r="AF59" s="674"/>
      <c r="AG59" s="674"/>
      <c r="AH59" s="674"/>
      <c r="AI59" s="674"/>
      <c r="AJ59" s="674"/>
      <c r="AK59" s="674"/>
      <c r="AL59" s="674"/>
      <c r="AM59" s="674"/>
      <c r="AN59" s="674"/>
      <c r="AO59" s="674"/>
      <c r="AP59" s="674"/>
      <c r="AQ59" s="674"/>
    </row>
    <row r="60" spans="2:46">
      <c r="B60" s="818"/>
      <c r="C60" s="671" t="s">
        <v>276</v>
      </c>
      <c r="D60" s="672"/>
      <c r="E60" s="673"/>
      <c r="F60" s="673"/>
      <c r="G60" s="674"/>
      <c r="H60" s="674"/>
      <c r="I60" s="674"/>
      <c r="J60" s="674"/>
      <c r="K60" s="674"/>
      <c r="L60" s="674"/>
      <c r="M60" s="674"/>
      <c r="N60" s="674"/>
      <c r="O60" s="674"/>
      <c r="P60" s="674"/>
      <c r="Q60" s="674"/>
      <c r="R60" s="674"/>
      <c r="S60" s="674"/>
      <c r="T60" s="674"/>
      <c r="U60" s="674"/>
      <c r="V60" s="674"/>
      <c r="W60" s="674"/>
      <c r="X60" s="674"/>
      <c r="Y60" s="674"/>
      <c r="Z60" s="674"/>
      <c r="AA60" s="674"/>
      <c r="AB60" s="674"/>
      <c r="AC60" s="674"/>
      <c r="AD60" s="674"/>
      <c r="AE60" s="674"/>
      <c r="AF60" s="674"/>
      <c r="AG60" s="674"/>
      <c r="AH60" s="674"/>
      <c r="AI60" s="674"/>
      <c r="AJ60" s="674"/>
      <c r="AK60" s="674"/>
      <c r="AL60" s="674"/>
      <c r="AM60" s="674"/>
      <c r="AN60" s="674"/>
      <c r="AO60" s="674"/>
      <c r="AP60" s="674"/>
      <c r="AQ60" s="674"/>
    </row>
    <row r="61" spans="2:46" ht="75">
      <c r="B61" s="818"/>
      <c r="C61" s="890" t="s">
        <v>277</v>
      </c>
      <c r="D61" s="891" t="s">
        <v>1576</v>
      </c>
      <c r="E61" s="791" t="s">
        <v>1577</v>
      </c>
      <c r="F61" s="862" t="s">
        <v>1566</v>
      </c>
      <c r="G61" s="674">
        <v>248</v>
      </c>
      <c r="H61" s="674"/>
      <c r="I61" s="674"/>
      <c r="J61" s="674" t="s">
        <v>1639</v>
      </c>
      <c r="K61" s="674" t="s">
        <v>1639</v>
      </c>
      <c r="L61" s="674"/>
      <c r="M61" s="674"/>
      <c r="N61" s="674"/>
      <c r="O61" s="674"/>
      <c r="P61" s="674"/>
      <c r="Q61" s="873">
        <v>70.8</v>
      </c>
      <c r="R61" s="674"/>
      <c r="S61" s="674"/>
      <c r="T61" s="674"/>
      <c r="U61" s="674"/>
      <c r="V61" s="674"/>
      <c r="W61" s="674"/>
      <c r="X61" s="674"/>
      <c r="Y61" s="674"/>
      <c r="Z61" s="863">
        <v>1</v>
      </c>
      <c r="AA61" s="674"/>
      <c r="AB61" s="674"/>
      <c r="AC61" s="674"/>
      <c r="AD61" s="674"/>
      <c r="AE61" s="674"/>
      <c r="AF61" s="674"/>
      <c r="AG61" s="674"/>
      <c r="AH61" s="674"/>
      <c r="AI61" s="873">
        <v>70.8</v>
      </c>
      <c r="AJ61" s="674"/>
      <c r="AK61" s="674"/>
      <c r="AL61" s="674"/>
      <c r="AM61" s="674"/>
      <c r="AN61" s="674"/>
      <c r="AO61" s="674"/>
      <c r="AP61" s="674"/>
      <c r="AQ61" s="674"/>
    </row>
    <row r="62" spans="2:46" ht="45">
      <c r="B62" s="818"/>
      <c r="C62" s="890"/>
      <c r="D62" s="892" t="s">
        <v>1841</v>
      </c>
      <c r="E62" s="893" t="s">
        <v>1675</v>
      </c>
      <c r="F62" s="894"/>
      <c r="G62" s="895"/>
      <c r="H62" s="1"/>
      <c r="I62" s="895"/>
      <c r="J62" s="896" t="s">
        <v>1842</v>
      </c>
      <c r="K62" s="896" t="s">
        <v>1842</v>
      </c>
      <c r="L62" s="894" t="s">
        <v>1843</v>
      </c>
      <c r="M62" s="894" t="s">
        <v>1843</v>
      </c>
      <c r="N62" s="895"/>
      <c r="O62" s="895"/>
      <c r="P62" s="895"/>
      <c r="Q62" s="895">
        <v>84</v>
      </c>
      <c r="R62" s="895"/>
      <c r="S62" s="895"/>
      <c r="T62" s="895"/>
      <c r="U62" s="895"/>
      <c r="V62" s="895"/>
      <c r="W62" s="895"/>
      <c r="X62" s="895"/>
      <c r="Y62" s="895"/>
      <c r="Z62" s="897">
        <v>1</v>
      </c>
      <c r="AA62" s="895"/>
      <c r="AB62" s="895"/>
      <c r="AC62" s="895"/>
      <c r="AD62" s="895"/>
      <c r="AE62" s="895"/>
      <c r="AF62" s="895"/>
      <c r="AG62" s="895"/>
      <c r="AH62" s="895"/>
      <c r="AI62" s="895">
        <v>84</v>
      </c>
      <c r="AJ62" s="895"/>
      <c r="AK62" s="895"/>
      <c r="AL62" s="895"/>
      <c r="AM62" s="895"/>
      <c r="AN62" s="895"/>
      <c r="AO62" s="895"/>
      <c r="AP62" s="895"/>
      <c r="AQ62" s="895"/>
    </row>
    <row r="63" spans="2:46">
      <c r="B63" s="818"/>
      <c r="C63" s="890"/>
      <c r="D63" s="892"/>
      <c r="E63" s="893"/>
      <c r="F63" s="894"/>
      <c r="G63" s="895"/>
      <c r="H63" s="1"/>
      <c r="I63" s="895"/>
      <c r="J63" s="896"/>
      <c r="K63" s="896"/>
      <c r="L63" s="894"/>
      <c r="M63" s="894"/>
      <c r="N63" s="895"/>
      <c r="O63" s="895"/>
      <c r="P63" s="895"/>
      <c r="Q63" s="895"/>
      <c r="R63" s="895"/>
      <c r="S63" s="895"/>
      <c r="T63" s="895"/>
      <c r="U63" s="895"/>
      <c r="V63" s="895"/>
      <c r="W63" s="895"/>
      <c r="X63" s="895"/>
      <c r="Y63" s="895"/>
      <c r="Z63" s="897"/>
      <c r="AA63" s="895"/>
      <c r="AB63" s="895"/>
      <c r="AC63" s="895"/>
      <c r="AD63" s="895"/>
      <c r="AE63" s="895"/>
      <c r="AF63" s="895"/>
      <c r="AG63" s="895"/>
      <c r="AH63" s="895"/>
      <c r="AI63" s="895"/>
      <c r="AJ63" s="895"/>
      <c r="AK63" s="895"/>
      <c r="AL63" s="895"/>
      <c r="AM63" s="895"/>
      <c r="AN63" s="895"/>
      <c r="AO63" s="895"/>
      <c r="AP63" s="895"/>
      <c r="AQ63" s="895"/>
    </row>
    <row r="64" spans="2:46">
      <c r="B64" s="818"/>
      <c r="C64" s="685"/>
      <c r="D64" s="791" t="s">
        <v>1580</v>
      </c>
      <c r="E64" s="673"/>
      <c r="F64" s="673"/>
      <c r="G64" s="674"/>
      <c r="H64" s="674"/>
      <c r="I64" s="674"/>
      <c r="J64" s="674" t="s">
        <v>1643</v>
      </c>
      <c r="K64" s="674" t="s">
        <v>1643</v>
      </c>
      <c r="L64" s="694" t="s">
        <v>1644</v>
      </c>
      <c r="M64" s="694" t="s">
        <v>1644</v>
      </c>
      <c r="N64" s="674"/>
      <c r="O64" s="873">
        <v>461</v>
      </c>
      <c r="P64" s="674"/>
      <c r="Q64" s="674"/>
      <c r="R64" s="674"/>
      <c r="S64" s="674"/>
      <c r="T64" s="674"/>
      <c r="U64" s="674"/>
      <c r="V64" s="674"/>
      <c r="W64" s="674"/>
      <c r="X64" s="863">
        <v>1</v>
      </c>
      <c r="Y64" s="674"/>
      <c r="Z64" s="674"/>
      <c r="AA64" s="674"/>
      <c r="AB64" s="674"/>
      <c r="AC64" s="674"/>
      <c r="AD64" s="674"/>
      <c r="AE64" s="674"/>
      <c r="AF64" s="674"/>
      <c r="AG64" s="873">
        <v>461</v>
      </c>
      <c r="AH64" s="674"/>
      <c r="AI64" s="674"/>
      <c r="AJ64" s="674"/>
      <c r="AK64" s="674"/>
      <c r="AL64" s="674"/>
      <c r="AM64" s="674"/>
      <c r="AN64" s="674"/>
      <c r="AO64" s="674"/>
      <c r="AP64" s="674"/>
      <c r="AQ64" s="884"/>
    </row>
    <row r="65" spans="2:43" ht="30">
      <c r="B65" s="818"/>
      <c r="C65" s="685"/>
      <c r="D65" s="865" t="s">
        <v>1202</v>
      </c>
      <c r="E65" s="866" t="s">
        <v>1203</v>
      </c>
      <c r="F65" s="867" t="s">
        <v>1571</v>
      </c>
      <c r="G65" s="868">
        <v>155</v>
      </c>
      <c r="H65" s="674"/>
      <c r="I65" s="674"/>
      <c r="J65" s="674"/>
      <c r="K65" s="674"/>
      <c r="L65" s="674"/>
      <c r="M65" s="674"/>
      <c r="N65" s="674"/>
      <c r="O65" s="674"/>
      <c r="P65" s="674"/>
      <c r="Q65" s="673">
        <v>67.260000000000005</v>
      </c>
      <c r="R65" s="674"/>
      <c r="S65" s="674"/>
      <c r="T65" s="674"/>
      <c r="U65" s="674"/>
      <c r="V65" s="674"/>
      <c r="W65" s="674"/>
      <c r="X65" s="674"/>
      <c r="Y65" s="674"/>
      <c r="Z65" s="674"/>
      <c r="AA65" s="674"/>
      <c r="AB65" s="674"/>
      <c r="AC65" s="674"/>
      <c r="AD65" s="674"/>
      <c r="AE65" s="674"/>
      <c r="AF65" s="674"/>
      <c r="AG65" s="674"/>
      <c r="AH65" s="674"/>
      <c r="AI65" s="674">
        <v>67.260000000000005</v>
      </c>
      <c r="AJ65" s="674"/>
      <c r="AK65" s="674"/>
      <c r="AL65" s="674"/>
      <c r="AM65" s="674"/>
      <c r="AN65" s="674"/>
      <c r="AO65" s="674"/>
      <c r="AP65" s="674"/>
      <c r="AQ65" s="674"/>
    </row>
    <row r="66" spans="2:43">
      <c r="B66" s="818"/>
      <c r="C66" s="676" t="s">
        <v>279</v>
      </c>
      <c r="D66" s="792" t="s">
        <v>1645</v>
      </c>
      <c r="E66" s="673" t="s">
        <v>1646</v>
      </c>
      <c r="F66" s="673"/>
      <c r="G66" s="674"/>
      <c r="H66" s="674"/>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674"/>
      <c r="AH66" s="674"/>
      <c r="AI66" s="674"/>
      <c r="AJ66" s="674"/>
      <c r="AK66" s="674"/>
      <c r="AL66" s="674"/>
      <c r="AM66" s="674"/>
      <c r="AN66" s="674"/>
      <c r="AO66" s="674"/>
      <c r="AP66" s="674"/>
      <c r="AQ66" s="674"/>
    </row>
    <row r="67" spans="2:43">
      <c r="B67" s="818"/>
      <c r="C67" s="674"/>
      <c r="D67" s="736" t="s">
        <v>1647</v>
      </c>
      <c r="E67" s="674"/>
      <c r="F67" s="674"/>
      <c r="G67" s="674"/>
      <c r="H67" s="674"/>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674"/>
      <c r="AH67" s="674"/>
      <c r="AI67" s="674"/>
      <c r="AJ67" s="674"/>
      <c r="AK67" s="674"/>
      <c r="AL67" s="674"/>
      <c r="AM67" s="674"/>
      <c r="AN67" s="674"/>
      <c r="AO67" s="674"/>
      <c r="AP67" s="674"/>
      <c r="AQ67" s="674"/>
    </row>
    <row r="68" spans="2:43">
      <c r="B68" s="818"/>
      <c r="C68" s="673"/>
      <c r="D68" s="792"/>
      <c r="E68" s="673"/>
      <c r="F68" s="673"/>
      <c r="G68" s="674"/>
      <c r="H68" s="674"/>
      <c r="I68" s="674"/>
      <c r="J68" s="674"/>
      <c r="K68" s="674"/>
      <c r="L68" s="674"/>
      <c r="M68" s="674"/>
      <c r="N68" s="674"/>
      <c r="O68" s="674"/>
      <c r="P68" s="674"/>
      <c r="Q68" s="674"/>
      <c r="R68" s="674"/>
      <c r="S68" s="674"/>
      <c r="T68" s="674"/>
      <c r="U68" s="674"/>
      <c r="V68" s="674"/>
      <c r="W68" s="674"/>
      <c r="X68" s="674"/>
      <c r="Y68" s="674"/>
      <c r="Z68" s="674"/>
      <c r="AA68" s="674"/>
      <c r="AB68" s="674"/>
      <c r="AC68" s="674"/>
      <c r="AD68" s="674"/>
      <c r="AE68" s="674"/>
      <c r="AF68" s="674"/>
      <c r="AG68" s="674"/>
      <c r="AH68" s="674"/>
      <c r="AI68" s="674"/>
      <c r="AJ68" s="674"/>
      <c r="AK68" s="674"/>
      <c r="AL68" s="674"/>
      <c r="AM68" s="674"/>
      <c r="AN68" s="674"/>
      <c r="AO68" s="674"/>
      <c r="AP68" s="674"/>
      <c r="AQ68" s="674"/>
    </row>
    <row r="69" spans="2:43">
      <c r="B69" s="818"/>
      <c r="C69" s="704" t="s">
        <v>280</v>
      </c>
      <c r="D69" s="705" t="s">
        <v>1648</v>
      </c>
      <c r="E69" s="673"/>
      <c r="F69" s="673"/>
      <c r="G69" s="674"/>
      <c r="H69" s="674"/>
      <c r="I69" s="674"/>
      <c r="J69" s="674"/>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4"/>
      <c r="AL69" s="674"/>
      <c r="AM69" s="674"/>
      <c r="AN69" s="674"/>
      <c r="AO69" s="674"/>
      <c r="AP69" s="674"/>
      <c r="AQ69" s="674"/>
    </row>
    <row r="70" spans="2:43">
      <c r="B70" s="818"/>
      <c r="C70" s="685" t="s">
        <v>278</v>
      </c>
      <c r="D70" s="705" t="s">
        <v>1649</v>
      </c>
      <c r="E70" s="673"/>
      <c r="F70" s="673"/>
      <c r="G70" s="674"/>
      <c r="H70" s="674"/>
      <c r="I70" s="674"/>
      <c r="J70" s="674"/>
      <c r="K70" s="674"/>
      <c r="L70" s="674"/>
      <c r="M70" s="674"/>
      <c r="N70" s="674"/>
      <c r="O70" s="674"/>
      <c r="P70" s="674"/>
      <c r="Q70" s="674"/>
      <c r="R70" s="674"/>
      <c r="S70" s="674"/>
      <c r="T70" s="674"/>
      <c r="U70" s="674"/>
      <c r="V70" s="674"/>
      <c r="W70" s="674"/>
      <c r="X70" s="674"/>
      <c r="Y70" s="674"/>
      <c r="Z70" s="674"/>
      <c r="AA70" s="674"/>
      <c r="AB70" s="674"/>
      <c r="AC70" s="674"/>
      <c r="AD70" s="674"/>
      <c r="AE70" s="674"/>
      <c r="AF70" s="674"/>
      <c r="AG70" s="674"/>
      <c r="AH70" s="674"/>
      <c r="AI70" s="674"/>
      <c r="AJ70" s="674"/>
      <c r="AK70" s="674"/>
      <c r="AL70" s="674"/>
      <c r="AM70" s="674"/>
      <c r="AN70" s="674"/>
      <c r="AO70" s="674"/>
      <c r="AP70" s="674"/>
      <c r="AQ70" s="674"/>
    </row>
    <row r="71" spans="2:43">
      <c r="B71" s="818"/>
      <c r="C71" s="685"/>
      <c r="D71" s="705" t="s">
        <v>1650</v>
      </c>
      <c r="E71" s="673"/>
      <c r="F71" s="673"/>
      <c r="G71" s="674"/>
      <c r="H71" s="674"/>
      <c r="I71" s="674"/>
      <c r="J71" s="674"/>
      <c r="K71" s="674"/>
      <c r="L71" s="674"/>
      <c r="M71" s="674"/>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c r="AN71" s="674"/>
      <c r="AO71" s="674"/>
      <c r="AP71" s="674"/>
      <c r="AQ71" s="674"/>
    </row>
    <row r="72" spans="2:43">
      <c r="B72" s="818"/>
      <c r="C72" s="685"/>
      <c r="D72" s="705" t="s">
        <v>1651</v>
      </c>
      <c r="E72" s="673"/>
      <c r="F72" s="673"/>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674"/>
      <c r="AL72" s="674"/>
      <c r="AM72" s="674"/>
      <c r="AN72" s="674"/>
      <c r="AO72" s="674"/>
      <c r="AP72" s="674"/>
      <c r="AQ72" s="674"/>
    </row>
    <row r="73" spans="2:43">
      <c r="B73" s="818"/>
      <c r="C73" s="685"/>
      <c r="D73" s="705" t="s">
        <v>1652</v>
      </c>
      <c r="E73" s="673"/>
      <c r="F73" s="673"/>
      <c r="G73" s="674"/>
      <c r="H73" s="674"/>
      <c r="I73" s="674"/>
      <c r="J73" s="674"/>
      <c r="K73" s="674"/>
      <c r="L73" s="674"/>
      <c r="M73" s="674"/>
      <c r="N73" s="674"/>
      <c r="O73" s="674"/>
      <c r="P73" s="674"/>
      <c r="Q73" s="674"/>
      <c r="R73" s="674"/>
      <c r="S73" s="674"/>
      <c r="T73" s="674"/>
      <c r="U73" s="674"/>
      <c r="V73" s="674"/>
      <c r="W73" s="674"/>
      <c r="X73" s="674"/>
      <c r="Y73" s="674"/>
      <c r="Z73" s="674"/>
      <c r="AA73" s="674"/>
      <c r="AB73" s="674"/>
      <c r="AC73" s="674"/>
      <c r="AD73" s="674"/>
      <c r="AE73" s="674"/>
      <c r="AF73" s="674"/>
      <c r="AG73" s="674"/>
      <c r="AH73" s="674"/>
      <c r="AI73" s="674"/>
      <c r="AJ73" s="674"/>
      <c r="AK73" s="674"/>
      <c r="AL73" s="674"/>
      <c r="AM73" s="674"/>
      <c r="AN73" s="674"/>
      <c r="AO73" s="674"/>
      <c r="AP73" s="674"/>
      <c r="AQ73" s="674"/>
    </row>
    <row r="74" spans="2:43">
      <c r="B74" s="818"/>
      <c r="C74" s="685"/>
      <c r="D74" s="705" t="s">
        <v>1653</v>
      </c>
      <c r="E74" s="673"/>
      <c r="F74" s="673"/>
      <c r="G74" s="674"/>
      <c r="H74" s="674"/>
      <c r="I74" s="674"/>
      <c r="J74" s="674"/>
      <c r="K74" s="674"/>
      <c r="L74" s="674"/>
      <c r="M74" s="674"/>
      <c r="N74" s="674"/>
      <c r="O74" s="674"/>
      <c r="P74" s="674"/>
      <c r="Q74" s="674"/>
      <c r="R74" s="674"/>
      <c r="S74" s="674"/>
      <c r="T74" s="674"/>
      <c r="U74" s="674"/>
      <c r="V74" s="674"/>
      <c r="W74" s="674"/>
      <c r="X74" s="674"/>
      <c r="Y74" s="674"/>
      <c r="Z74" s="674"/>
      <c r="AA74" s="674"/>
      <c r="AB74" s="674"/>
      <c r="AC74" s="674"/>
      <c r="AD74" s="674"/>
      <c r="AE74" s="674"/>
      <c r="AF74" s="674"/>
      <c r="AG74" s="674"/>
      <c r="AH74" s="674"/>
      <c r="AI74" s="674"/>
      <c r="AJ74" s="674"/>
      <c r="AK74" s="674"/>
      <c r="AL74" s="674"/>
      <c r="AM74" s="674"/>
      <c r="AN74" s="674"/>
      <c r="AO74" s="674"/>
      <c r="AP74" s="674"/>
      <c r="AQ74" s="674"/>
    </row>
    <row r="75" spans="2:43">
      <c r="B75" s="818"/>
      <c r="C75" s="685"/>
      <c r="D75" s="705" t="s">
        <v>1654</v>
      </c>
      <c r="E75" s="673"/>
      <c r="F75" s="673"/>
      <c r="G75" s="674"/>
      <c r="H75" s="674"/>
      <c r="I75" s="674"/>
      <c r="J75" s="674"/>
      <c r="K75" s="674"/>
      <c r="L75" s="674"/>
      <c r="M75" s="674"/>
      <c r="N75" s="674"/>
      <c r="O75" s="674"/>
      <c r="P75" s="674"/>
      <c r="Q75" s="674"/>
      <c r="R75" s="674"/>
      <c r="S75" s="674"/>
      <c r="T75" s="674"/>
      <c r="U75" s="674"/>
      <c r="V75" s="674"/>
      <c r="W75" s="674"/>
      <c r="X75" s="674"/>
      <c r="Y75" s="674"/>
      <c r="Z75" s="674"/>
      <c r="AA75" s="674"/>
      <c r="AB75" s="674"/>
      <c r="AC75" s="674"/>
      <c r="AD75" s="674"/>
      <c r="AE75" s="674"/>
      <c r="AF75" s="674"/>
      <c r="AG75" s="674"/>
      <c r="AH75" s="674"/>
      <c r="AI75" s="674"/>
      <c r="AJ75" s="674"/>
      <c r="AK75" s="674"/>
      <c r="AL75" s="674"/>
      <c r="AM75" s="674"/>
      <c r="AN75" s="674"/>
      <c r="AO75" s="674"/>
      <c r="AP75" s="674"/>
      <c r="AQ75" s="674"/>
    </row>
    <row r="76" spans="2:43">
      <c r="B76" s="818"/>
      <c r="C76" s="685"/>
      <c r="D76" s="705" t="s">
        <v>1655</v>
      </c>
      <c r="E76" s="673"/>
      <c r="F76" s="673"/>
      <c r="G76" s="674"/>
      <c r="H76" s="674"/>
      <c r="I76" s="674"/>
      <c r="J76" s="674"/>
      <c r="K76" s="674"/>
      <c r="L76" s="674"/>
      <c r="M76" s="674"/>
      <c r="N76" s="674"/>
      <c r="O76" s="674"/>
      <c r="P76" s="674"/>
      <c r="Q76" s="674"/>
      <c r="R76" s="674"/>
      <c r="S76" s="674"/>
      <c r="T76" s="674"/>
      <c r="U76" s="674"/>
      <c r="V76" s="674"/>
      <c r="W76" s="674"/>
      <c r="X76" s="674"/>
      <c r="Y76" s="674"/>
      <c r="Z76" s="674"/>
      <c r="AA76" s="674"/>
      <c r="AB76" s="674"/>
      <c r="AC76" s="674"/>
      <c r="AD76" s="674"/>
      <c r="AE76" s="674"/>
      <c r="AF76" s="674"/>
      <c r="AG76" s="674"/>
      <c r="AH76" s="674"/>
      <c r="AI76" s="674"/>
      <c r="AJ76" s="674"/>
      <c r="AK76" s="674"/>
      <c r="AL76" s="674"/>
      <c r="AM76" s="674"/>
      <c r="AN76" s="674"/>
      <c r="AO76" s="674"/>
      <c r="AP76" s="674"/>
      <c r="AQ76" s="674"/>
    </row>
    <row r="77" spans="2:43">
      <c r="B77" s="818"/>
      <c r="C77" s="685"/>
      <c r="D77" s="705" t="s">
        <v>1656</v>
      </c>
      <c r="E77" s="673"/>
      <c r="F77" s="673"/>
      <c r="G77" s="674"/>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4"/>
      <c r="AG77" s="674"/>
      <c r="AH77" s="674"/>
      <c r="AI77" s="674"/>
      <c r="AJ77" s="674"/>
      <c r="AK77" s="674"/>
      <c r="AL77" s="674"/>
      <c r="AM77" s="674"/>
      <c r="AN77" s="674"/>
      <c r="AO77" s="674"/>
      <c r="AP77" s="674"/>
      <c r="AQ77" s="674"/>
    </row>
    <row r="78" spans="2:43" ht="45">
      <c r="B78" s="818"/>
      <c r="C78" s="685"/>
      <c r="D78" s="705" t="s">
        <v>1657</v>
      </c>
      <c r="E78" s="792" t="s">
        <v>1658</v>
      </c>
      <c r="F78" s="673"/>
      <c r="G78" s="674"/>
      <c r="H78" s="674"/>
      <c r="I78" s="674"/>
      <c r="J78" s="674"/>
      <c r="K78" s="674"/>
      <c r="L78" s="674"/>
      <c r="M78" s="674"/>
      <c r="N78" s="674"/>
      <c r="O78" s="674"/>
      <c r="P78" s="674"/>
      <c r="Q78" s="674"/>
      <c r="R78" s="674"/>
      <c r="S78" s="674"/>
      <c r="T78" s="674"/>
      <c r="U78" s="674"/>
      <c r="V78" s="674"/>
      <c r="W78" s="674"/>
      <c r="X78" s="674"/>
      <c r="Y78" s="674"/>
      <c r="Z78" s="674"/>
      <c r="AA78" s="674"/>
      <c r="AB78" s="674"/>
      <c r="AC78" s="674"/>
      <c r="AD78" s="674"/>
      <c r="AE78" s="674"/>
      <c r="AF78" s="674"/>
      <c r="AG78" s="674"/>
      <c r="AH78" s="674"/>
      <c r="AI78" s="674"/>
      <c r="AJ78" s="674"/>
      <c r="AK78" s="674"/>
      <c r="AL78" s="674"/>
      <c r="AM78" s="674"/>
      <c r="AN78" s="674"/>
      <c r="AO78" s="674"/>
      <c r="AP78" s="674"/>
      <c r="AQ78" s="674"/>
    </row>
    <row r="79" spans="2:43" ht="45">
      <c r="B79" s="818"/>
      <c r="C79" s="685"/>
      <c r="D79" s="705" t="s">
        <v>1659</v>
      </c>
      <c r="E79" s="791" t="s">
        <v>1844</v>
      </c>
      <c r="F79" s="673"/>
      <c r="G79" s="674"/>
      <c r="H79" s="674"/>
      <c r="I79" s="674"/>
      <c r="J79" s="674"/>
      <c r="K79" s="674"/>
      <c r="L79" s="674"/>
      <c r="M79" s="674"/>
      <c r="N79" s="674"/>
      <c r="O79" s="674"/>
      <c r="P79" s="674"/>
      <c r="Q79" s="674"/>
      <c r="R79" s="674"/>
      <c r="S79" s="674"/>
      <c r="T79" s="674"/>
      <c r="U79" s="674"/>
      <c r="V79" s="674"/>
      <c r="W79" s="674"/>
      <c r="X79" s="674"/>
      <c r="Y79" s="674"/>
      <c r="Z79" s="674"/>
      <c r="AA79" s="674"/>
      <c r="AB79" s="674"/>
      <c r="AC79" s="674"/>
      <c r="AD79" s="674"/>
      <c r="AE79" s="674"/>
      <c r="AF79" s="674"/>
      <c r="AG79" s="674"/>
      <c r="AH79" s="674"/>
      <c r="AI79" s="674"/>
      <c r="AJ79" s="674"/>
      <c r="AK79" s="674"/>
      <c r="AL79" s="674"/>
      <c r="AM79" s="674"/>
      <c r="AN79" s="674"/>
      <c r="AO79" s="674"/>
      <c r="AP79" s="674"/>
      <c r="AQ79" s="674"/>
    </row>
    <row r="80" spans="2:43" ht="105">
      <c r="B80" s="818"/>
      <c r="C80" s="685"/>
      <c r="D80" s="705" t="s">
        <v>1660</v>
      </c>
      <c r="E80" s="792" t="s">
        <v>1661</v>
      </c>
      <c r="F80" s="673"/>
      <c r="G80" s="674"/>
      <c r="H80" s="674"/>
      <c r="I80" s="674"/>
      <c r="J80" s="674"/>
      <c r="K80" s="674"/>
      <c r="L80" s="674"/>
      <c r="M80" s="674"/>
      <c r="N80" s="674"/>
      <c r="O80" s="674"/>
      <c r="P80" s="674"/>
      <c r="Q80" s="674"/>
      <c r="R80" s="674"/>
      <c r="S80" s="674"/>
      <c r="T80" s="674"/>
      <c r="U80" s="674"/>
      <c r="V80" s="674"/>
      <c r="W80" s="674"/>
      <c r="X80" s="674"/>
      <c r="Y80" s="674"/>
      <c r="Z80" s="674"/>
      <c r="AA80" s="674"/>
      <c r="AB80" s="674"/>
      <c r="AC80" s="674"/>
      <c r="AD80" s="674"/>
      <c r="AE80" s="674"/>
      <c r="AF80" s="674"/>
      <c r="AG80" s="674"/>
      <c r="AH80" s="674"/>
      <c r="AI80" s="674"/>
      <c r="AJ80" s="674"/>
      <c r="AK80" s="674"/>
      <c r="AL80" s="674"/>
      <c r="AM80" s="674"/>
      <c r="AN80" s="674"/>
      <c r="AO80" s="674"/>
      <c r="AP80" s="674"/>
      <c r="AQ80" s="674"/>
    </row>
    <row r="81" spans="2:44" ht="45">
      <c r="B81" s="818"/>
      <c r="C81" s="685"/>
      <c r="D81" s="705" t="s">
        <v>1662</v>
      </c>
      <c r="E81" s="792" t="s">
        <v>1658</v>
      </c>
      <c r="F81" s="673"/>
      <c r="G81" s="674"/>
      <c r="H81" s="674"/>
      <c r="I81" s="674"/>
      <c r="J81" s="674"/>
      <c r="K81" s="674"/>
      <c r="L81" s="674"/>
      <c r="M81" s="674"/>
      <c r="N81" s="674"/>
      <c r="O81" s="674"/>
      <c r="P81" s="674"/>
      <c r="Q81" s="674"/>
      <c r="R81" s="674"/>
      <c r="S81" s="674"/>
      <c r="T81" s="674"/>
      <c r="U81" s="674"/>
      <c r="V81" s="674"/>
      <c r="W81" s="674"/>
      <c r="X81" s="674"/>
      <c r="Y81" s="674"/>
      <c r="Z81" s="674"/>
      <c r="AA81" s="674"/>
      <c r="AB81" s="674"/>
      <c r="AC81" s="674"/>
      <c r="AD81" s="674"/>
      <c r="AE81" s="674"/>
      <c r="AF81" s="674"/>
      <c r="AG81" s="674"/>
      <c r="AH81" s="674"/>
      <c r="AI81" s="674"/>
      <c r="AJ81" s="674"/>
      <c r="AK81" s="674"/>
      <c r="AL81" s="674"/>
      <c r="AM81" s="674"/>
      <c r="AN81" s="674"/>
      <c r="AO81" s="674"/>
      <c r="AP81" s="674"/>
      <c r="AQ81" s="674"/>
    </row>
    <row r="82" spans="2:44">
      <c r="B82" s="818"/>
      <c r="C82" s="685"/>
      <c r="D82" s="705" t="s">
        <v>1664</v>
      </c>
      <c r="E82" s="673"/>
      <c r="F82" s="673"/>
      <c r="G82" s="674"/>
      <c r="H82" s="674"/>
      <c r="I82" s="674"/>
      <c r="J82" s="674"/>
      <c r="K82" s="674"/>
      <c r="L82" s="674"/>
      <c r="M82" s="674"/>
      <c r="N82" s="674"/>
      <c r="O82" s="674"/>
      <c r="P82" s="674"/>
      <c r="Q82" s="674"/>
      <c r="R82" s="674"/>
      <c r="S82" s="674"/>
      <c r="T82" s="674"/>
      <c r="U82" s="674"/>
      <c r="V82" s="674"/>
      <c r="W82" s="674"/>
      <c r="X82" s="674"/>
      <c r="Y82" s="674"/>
      <c r="Z82" s="674"/>
      <c r="AA82" s="674"/>
      <c r="AB82" s="674"/>
      <c r="AC82" s="674"/>
      <c r="AD82" s="674"/>
      <c r="AE82" s="674"/>
      <c r="AF82" s="674"/>
      <c r="AG82" s="674"/>
      <c r="AH82" s="674"/>
      <c r="AI82" s="674"/>
      <c r="AJ82" s="674"/>
      <c r="AK82" s="674"/>
      <c r="AL82" s="674"/>
      <c r="AM82" s="674"/>
      <c r="AN82" s="674"/>
      <c r="AO82" s="674"/>
      <c r="AP82" s="674"/>
      <c r="AQ82" s="674"/>
    </row>
    <row r="83" spans="2:44">
      <c r="B83" s="818"/>
      <c r="C83" s="685"/>
      <c r="D83" s="736" t="s">
        <v>1626</v>
      </c>
      <c r="E83" s="673"/>
      <c r="F83" s="673"/>
      <c r="G83" s="674"/>
      <c r="H83" s="674"/>
      <c r="I83" s="674"/>
      <c r="J83" s="674"/>
      <c r="K83" s="674"/>
      <c r="L83" s="674"/>
      <c r="M83" s="674"/>
      <c r="N83" s="674"/>
      <c r="O83" s="674"/>
      <c r="P83" s="674"/>
      <c r="Q83" s="674"/>
      <c r="R83" s="674"/>
      <c r="S83" s="674"/>
      <c r="T83" s="674"/>
      <c r="U83" s="674"/>
      <c r="V83" s="674"/>
      <c r="W83" s="674"/>
      <c r="X83" s="674"/>
      <c r="Y83" s="674"/>
      <c r="Z83" s="674"/>
      <c r="AA83" s="674"/>
      <c r="AB83" s="674"/>
      <c r="AC83" s="674"/>
      <c r="AD83" s="674"/>
      <c r="AE83" s="674"/>
      <c r="AF83" s="674"/>
      <c r="AG83" s="674"/>
      <c r="AH83" s="674"/>
      <c r="AI83" s="674"/>
      <c r="AJ83" s="674"/>
      <c r="AK83" s="674"/>
      <c r="AL83" s="674"/>
      <c r="AM83" s="674"/>
      <c r="AN83" s="674"/>
      <c r="AO83" s="674"/>
      <c r="AP83" s="674"/>
      <c r="AQ83" s="674"/>
    </row>
    <row r="84" spans="2:44">
      <c r="B84" s="818"/>
      <c r="C84" s="695"/>
      <c r="D84" s="736" t="s">
        <v>1207</v>
      </c>
      <c r="E84" s="697" t="s">
        <v>1646</v>
      </c>
      <c r="F84" s="697"/>
      <c r="G84" s="674"/>
      <c r="H84" s="674"/>
      <c r="I84" s="674"/>
      <c r="J84" s="674"/>
      <c r="K84" s="674"/>
      <c r="L84" s="674"/>
      <c r="M84" s="674"/>
      <c r="N84" s="674"/>
      <c r="O84" s="674"/>
      <c r="P84" s="674"/>
      <c r="Q84" s="674"/>
      <c r="R84" s="674"/>
      <c r="S84" s="674"/>
      <c r="T84" s="674"/>
      <c r="U84" s="674"/>
      <c r="V84" s="674"/>
      <c r="W84" s="674"/>
      <c r="X84" s="674"/>
      <c r="Y84" s="674"/>
      <c r="Z84" s="674"/>
      <c r="AA84" s="674"/>
      <c r="AB84" s="674"/>
      <c r="AC84" s="674"/>
      <c r="AD84" s="674"/>
      <c r="AE84" s="674"/>
      <c r="AF84" s="674"/>
      <c r="AG84" s="674"/>
      <c r="AH84" s="674"/>
      <c r="AI84" s="674"/>
      <c r="AJ84" s="674"/>
      <c r="AK84" s="674"/>
      <c r="AL84" s="674"/>
      <c r="AM84" s="674"/>
      <c r="AN84" s="674"/>
      <c r="AO84" s="674"/>
      <c r="AP84" s="674"/>
      <c r="AQ84" s="674"/>
    </row>
    <row r="85" spans="2:44">
      <c r="B85" s="818"/>
      <c r="C85" s="695"/>
      <c r="D85" s="736" t="s">
        <v>1627</v>
      </c>
      <c r="E85" s="697"/>
      <c r="F85" s="697"/>
      <c r="G85" s="674"/>
      <c r="H85" s="674"/>
      <c r="I85" s="674"/>
      <c r="J85" s="674"/>
      <c r="K85" s="674"/>
      <c r="L85" s="674"/>
      <c r="M85" s="674"/>
      <c r="N85" s="674"/>
      <c r="O85" s="674"/>
      <c r="P85" s="674"/>
      <c r="Q85" s="674"/>
      <c r="R85" s="674"/>
      <c r="S85" s="674"/>
      <c r="T85" s="674"/>
      <c r="U85" s="674"/>
      <c r="V85" s="674"/>
      <c r="W85" s="674"/>
      <c r="X85" s="674"/>
      <c r="Y85" s="674"/>
      <c r="Z85" s="674"/>
      <c r="AA85" s="674"/>
      <c r="AB85" s="674"/>
      <c r="AC85" s="674"/>
      <c r="AD85" s="674"/>
      <c r="AE85" s="674"/>
      <c r="AF85" s="674"/>
      <c r="AG85" s="674"/>
      <c r="AH85" s="674"/>
      <c r="AI85" s="674"/>
      <c r="AJ85" s="674"/>
      <c r="AK85" s="674"/>
      <c r="AL85" s="674"/>
      <c r="AM85" s="674"/>
      <c r="AN85" s="674"/>
      <c r="AO85" s="674"/>
      <c r="AP85" s="674"/>
      <c r="AQ85" s="674"/>
    </row>
    <row r="86" spans="2:44">
      <c r="B86" s="818"/>
      <c r="C86" s="695"/>
      <c r="D86" s="736" t="s">
        <v>1628</v>
      </c>
      <c r="E86" s="697"/>
      <c r="F86" s="697"/>
      <c r="G86" s="674"/>
      <c r="H86" s="674"/>
      <c r="I86" s="674"/>
      <c r="J86" s="674"/>
      <c r="K86" s="674"/>
      <c r="L86" s="674"/>
      <c r="M86" s="674"/>
      <c r="N86" s="674"/>
      <c r="O86" s="674"/>
      <c r="P86" s="674"/>
      <c r="Q86" s="674"/>
      <c r="R86" s="674"/>
      <c r="S86" s="674"/>
      <c r="T86" s="674"/>
      <c r="U86" s="674"/>
      <c r="V86" s="674"/>
      <c r="W86" s="674"/>
      <c r="X86" s="674"/>
      <c r="Y86" s="674"/>
      <c r="Z86" s="674"/>
      <c r="AA86" s="674"/>
      <c r="AB86" s="674"/>
      <c r="AC86" s="674"/>
      <c r="AD86" s="674"/>
      <c r="AE86" s="674"/>
      <c r="AF86" s="674"/>
      <c r="AG86" s="674"/>
      <c r="AH86" s="674"/>
      <c r="AI86" s="674"/>
      <c r="AJ86" s="674"/>
      <c r="AK86" s="674"/>
      <c r="AL86" s="674"/>
      <c r="AM86" s="674"/>
      <c r="AN86" s="674"/>
      <c r="AO86" s="674"/>
      <c r="AP86" s="674"/>
      <c r="AQ86" s="674"/>
    </row>
    <row r="87" spans="2:44">
      <c r="B87" s="818"/>
      <c r="C87" s="695"/>
      <c r="D87" s="736" t="s">
        <v>1631</v>
      </c>
      <c r="E87" s="697"/>
      <c r="F87" s="697"/>
      <c r="G87" s="674"/>
      <c r="H87" s="674"/>
      <c r="I87" s="674"/>
      <c r="J87" s="673"/>
      <c r="K87" s="673"/>
      <c r="L87" s="673"/>
      <c r="M87" s="673"/>
      <c r="N87" s="673"/>
      <c r="O87" s="673"/>
      <c r="P87" s="673"/>
      <c r="Q87" s="673"/>
      <c r="R87" s="674"/>
      <c r="S87" s="674"/>
      <c r="T87" s="674"/>
      <c r="U87" s="674"/>
      <c r="V87" s="674"/>
      <c r="W87" s="674"/>
      <c r="X87" s="674"/>
      <c r="Y87" s="674"/>
      <c r="Z87" s="674"/>
      <c r="AA87" s="674"/>
      <c r="AB87" s="674"/>
      <c r="AC87" s="674"/>
      <c r="AD87" s="674"/>
      <c r="AE87" s="674"/>
      <c r="AF87" s="674"/>
      <c r="AG87" s="674"/>
      <c r="AH87" s="674"/>
      <c r="AI87" s="674"/>
      <c r="AJ87" s="674"/>
      <c r="AK87" s="674"/>
      <c r="AL87" s="674"/>
      <c r="AM87" s="674"/>
      <c r="AN87" s="674"/>
      <c r="AO87" s="674"/>
      <c r="AP87" s="674"/>
      <c r="AQ87" s="674"/>
    </row>
    <row r="88" spans="2:44">
      <c r="B88" s="818"/>
      <c r="C88" s="695"/>
      <c r="D88" s="736" t="s">
        <v>1633</v>
      </c>
      <c r="E88" s="697"/>
      <c r="F88" s="697"/>
      <c r="G88" s="674"/>
      <c r="H88" s="674"/>
      <c r="I88" s="674"/>
      <c r="J88" s="674"/>
      <c r="K88" s="674"/>
      <c r="L88" s="674"/>
      <c r="M88" s="674"/>
      <c r="N88" s="674"/>
      <c r="O88" s="674"/>
      <c r="P88" s="674"/>
      <c r="Q88" s="674"/>
      <c r="R88" s="674"/>
      <c r="S88" s="674"/>
      <c r="T88" s="674"/>
      <c r="U88" s="674"/>
      <c r="V88" s="674"/>
      <c r="W88" s="674"/>
      <c r="X88" s="674"/>
      <c r="Y88" s="674"/>
      <c r="Z88" s="674"/>
      <c r="AA88" s="674"/>
      <c r="AB88" s="674"/>
      <c r="AC88" s="674"/>
      <c r="AD88" s="674"/>
      <c r="AE88" s="674"/>
      <c r="AF88" s="674"/>
      <c r="AG88" s="674"/>
      <c r="AH88" s="674"/>
      <c r="AI88" s="674"/>
      <c r="AJ88" s="674"/>
      <c r="AK88" s="674"/>
      <c r="AL88" s="674"/>
      <c r="AM88" s="674"/>
      <c r="AN88" s="674"/>
      <c r="AO88" s="674"/>
      <c r="AP88" s="674"/>
      <c r="AQ88" s="674"/>
    </row>
    <row r="89" spans="2:44">
      <c r="B89" s="818"/>
      <c r="C89" s="695"/>
      <c r="D89" s="736" t="s">
        <v>1634</v>
      </c>
      <c r="E89" s="697"/>
      <c r="F89" s="697"/>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674"/>
      <c r="AM89" s="674"/>
      <c r="AN89" s="674"/>
      <c r="AO89" s="674"/>
      <c r="AP89" s="674"/>
      <c r="AQ89" s="674"/>
    </row>
    <row r="90" spans="2:44">
      <c r="B90" s="818"/>
      <c r="C90" s="695"/>
      <c r="D90" s="736" t="s">
        <v>1665</v>
      </c>
      <c r="E90" s="697"/>
      <c r="F90" s="697"/>
      <c r="G90" s="674"/>
      <c r="H90" s="674"/>
      <c r="I90" s="674"/>
      <c r="J90" s="674"/>
      <c r="K90" s="674"/>
      <c r="L90" s="674"/>
      <c r="M90" s="674"/>
      <c r="N90" s="674"/>
      <c r="O90" s="674"/>
      <c r="P90" s="674"/>
      <c r="Q90" s="674">
        <v>12.84</v>
      </c>
      <c r="R90" s="674"/>
      <c r="S90" s="674"/>
      <c r="T90" s="674"/>
      <c r="U90" s="674"/>
      <c r="V90" s="674"/>
      <c r="W90" s="674"/>
      <c r="X90" s="674"/>
      <c r="Y90" s="674"/>
      <c r="Z90" s="863">
        <v>1</v>
      </c>
      <c r="AA90" s="674"/>
      <c r="AB90" s="674"/>
      <c r="AC90" s="674"/>
      <c r="AD90" s="674"/>
      <c r="AE90" s="674"/>
      <c r="AF90" s="674"/>
      <c r="AG90" s="674"/>
      <c r="AH90" s="674"/>
      <c r="AI90" s="674">
        <v>12.84</v>
      </c>
      <c r="AJ90" s="674"/>
      <c r="AK90" s="674"/>
      <c r="AL90" s="674"/>
      <c r="AM90" s="674"/>
      <c r="AN90" s="674"/>
      <c r="AO90" s="674"/>
      <c r="AP90" s="674"/>
      <c r="AQ90" s="674"/>
    </row>
    <row r="91" spans="2:44">
      <c r="B91" s="818"/>
      <c r="C91" s="695"/>
      <c r="D91" s="736" t="s">
        <v>1666</v>
      </c>
      <c r="E91" s="697"/>
      <c r="F91" s="697"/>
      <c r="G91" s="674"/>
      <c r="H91" s="674"/>
      <c r="I91" s="674"/>
      <c r="J91" s="674"/>
      <c r="K91" s="674"/>
      <c r="L91" s="674"/>
      <c r="M91" s="674"/>
      <c r="N91" s="674"/>
      <c r="O91" s="674"/>
      <c r="P91" s="674"/>
      <c r="Q91" s="674">
        <v>16.239999999999998</v>
      </c>
      <c r="R91" s="674"/>
      <c r="S91" s="674"/>
      <c r="T91" s="674"/>
      <c r="U91" s="674"/>
      <c r="V91" s="674"/>
      <c r="W91" s="674"/>
      <c r="X91" s="674"/>
      <c r="Y91" s="674"/>
      <c r="Z91" s="863">
        <v>1</v>
      </c>
      <c r="AA91" s="674"/>
      <c r="AB91" s="674"/>
      <c r="AC91" s="674"/>
      <c r="AD91" s="674"/>
      <c r="AE91" s="674"/>
      <c r="AF91" s="674"/>
      <c r="AG91" s="674"/>
      <c r="AH91" s="674"/>
      <c r="AI91" s="674">
        <v>16.239999999999998</v>
      </c>
      <c r="AJ91" s="674"/>
      <c r="AK91" s="674"/>
      <c r="AL91" s="674"/>
      <c r="AM91" s="674"/>
      <c r="AN91" s="674"/>
      <c r="AO91" s="674"/>
      <c r="AP91" s="674"/>
      <c r="AQ91" s="674"/>
    </row>
    <row r="92" spans="2:44">
      <c r="B92" s="818"/>
      <c r="C92" s="695"/>
      <c r="D92" s="736" t="s">
        <v>1837</v>
      </c>
      <c r="E92" s="697"/>
      <c r="F92" s="697"/>
      <c r="G92" s="674">
        <v>8.32</v>
      </c>
      <c r="H92" s="674"/>
      <c r="I92" s="674"/>
      <c r="J92" s="875" t="s">
        <v>1586</v>
      </c>
      <c r="K92" s="875" t="s">
        <v>1586</v>
      </c>
      <c r="L92" s="674"/>
      <c r="M92" s="674"/>
      <c r="N92" s="674"/>
      <c r="O92" s="674"/>
      <c r="P92" s="674"/>
      <c r="Q92" s="674">
        <v>8.32</v>
      </c>
      <c r="R92" s="674"/>
      <c r="S92" s="674"/>
      <c r="T92" s="674"/>
      <c r="U92" s="674"/>
      <c r="V92" s="674"/>
      <c r="W92" s="674"/>
      <c r="X92" s="674"/>
      <c r="Y92" s="674"/>
      <c r="Z92" s="863">
        <v>1</v>
      </c>
      <c r="AA92" s="674"/>
      <c r="AB92" s="674"/>
      <c r="AC92" s="674"/>
      <c r="AD92" s="674"/>
      <c r="AE92" s="674"/>
      <c r="AF92" s="674"/>
      <c r="AG92" s="674"/>
      <c r="AH92" s="674"/>
      <c r="AI92" s="674"/>
      <c r="AJ92" s="674"/>
      <c r="AK92" s="674"/>
      <c r="AL92" s="674"/>
      <c r="AM92" s="674"/>
      <c r="AN92" s="674"/>
      <c r="AO92" s="674"/>
      <c r="AP92" s="674"/>
      <c r="AQ92" s="674"/>
      <c r="AR92" s="112" t="s">
        <v>1845</v>
      </c>
    </row>
    <row r="93" spans="2:44">
      <c r="B93" s="818"/>
      <c r="C93" s="695"/>
      <c r="D93" s="736" t="s">
        <v>1846</v>
      </c>
      <c r="E93" s="697"/>
      <c r="F93" s="697"/>
      <c r="G93" s="674">
        <v>38.08</v>
      </c>
      <c r="H93" s="674"/>
      <c r="I93" s="674"/>
      <c r="J93" s="875"/>
      <c r="K93" s="875"/>
      <c r="L93" s="674"/>
      <c r="M93" s="674"/>
      <c r="N93" s="674"/>
      <c r="O93" s="674"/>
      <c r="P93" s="674"/>
      <c r="Q93" s="674">
        <v>38.08</v>
      </c>
      <c r="R93" s="674"/>
      <c r="S93" s="674"/>
      <c r="T93" s="674"/>
      <c r="U93" s="674"/>
      <c r="V93" s="674"/>
      <c r="W93" s="674"/>
      <c r="X93" s="674"/>
      <c r="Y93" s="674"/>
      <c r="Z93" s="863">
        <v>1</v>
      </c>
      <c r="AA93" s="674"/>
      <c r="AB93" s="674"/>
      <c r="AC93" s="674"/>
      <c r="AD93" s="674"/>
      <c r="AE93" s="674"/>
      <c r="AF93" s="674"/>
      <c r="AG93" s="674"/>
      <c r="AH93" s="674"/>
      <c r="AI93" s="674">
        <v>0</v>
      </c>
      <c r="AJ93" s="674"/>
      <c r="AK93" s="674"/>
      <c r="AL93" s="674"/>
      <c r="AM93" s="674"/>
      <c r="AN93" s="674"/>
      <c r="AO93" s="674"/>
      <c r="AP93" s="674"/>
      <c r="AQ93" s="674"/>
      <c r="AR93" s="112" t="s">
        <v>1847</v>
      </c>
    </row>
    <row r="94" spans="2:44">
      <c r="B94" s="818"/>
      <c r="C94" s="704"/>
      <c r="D94" s="882" t="s">
        <v>1608</v>
      </c>
      <c r="E94" s="694"/>
      <c r="F94" s="694"/>
      <c r="G94" s="674">
        <v>48.99</v>
      </c>
      <c r="H94" s="674"/>
      <c r="I94" s="674"/>
      <c r="J94" s="674" t="s">
        <v>1610</v>
      </c>
      <c r="K94" s="674" t="s">
        <v>1610</v>
      </c>
      <c r="L94" s="674" t="s">
        <v>1611</v>
      </c>
      <c r="M94" s="674" t="s">
        <v>1611</v>
      </c>
      <c r="N94" s="674"/>
      <c r="O94" s="674"/>
      <c r="P94" s="674"/>
      <c r="Q94" s="674">
        <v>48.99</v>
      </c>
      <c r="R94" s="674"/>
      <c r="S94" s="674"/>
      <c r="T94" s="674"/>
      <c r="U94" s="674"/>
      <c r="V94" s="674"/>
      <c r="W94" s="674"/>
      <c r="X94" s="674"/>
      <c r="Y94" s="674"/>
      <c r="Z94" s="863">
        <v>1</v>
      </c>
      <c r="AA94" s="674"/>
      <c r="AB94" s="674"/>
      <c r="AC94" s="674"/>
      <c r="AD94" s="674"/>
      <c r="AE94" s="674"/>
      <c r="AF94" s="674"/>
      <c r="AG94" s="674"/>
      <c r="AH94" s="674"/>
      <c r="AI94" s="674">
        <v>48.99</v>
      </c>
      <c r="AJ94" s="674"/>
      <c r="AK94" s="674"/>
      <c r="AL94" s="674"/>
      <c r="AM94" s="674"/>
      <c r="AN94" s="674"/>
      <c r="AO94" s="674"/>
      <c r="AP94" s="674"/>
      <c r="AQ94" s="674"/>
    </row>
    <row r="95" spans="2:44" ht="30">
      <c r="B95" s="818"/>
      <c r="C95" s="704"/>
      <c r="D95" s="886" t="s">
        <v>1637</v>
      </c>
      <c r="E95" s="673"/>
      <c r="F95" s="673"/>
      <c r="G95" s="673"/>
      <c r="H95" s="673"/>
      <c r="I95" s="673"/>
      <c r="J95" s="862" t="s">
        <v>1848</v>
      </c>
      <c r="K95" s="862" t="s">
        <v>1848</v>
      </c>
      <c r="L95" s="862" t="s">
        <v>1849</v>
      </c>
      <c r="M95" s="862" t="s">
        <v>1849</v>
      </c>
      <c r="N95" s="885"/>
      <c r="O95" s="673"/>
      <c r="P95" s="673"/>
      <c r="Q95" s="674">
        <v>18.77</v>
      </c>
      <c r="R95" s="888"/>
      <c r="S95" s="673"/>
      <c r="T95" s="673"/>
      <c r="U95" s="673"/>
      <c r="V95" s="673"/>
      <c r="W95" s="673"/>
      <c r="X95" s="673"/>
      <c r="Y95" s="889"/>
      <c r="Z95" s="889">
        <v>1</v>
      </c>
      <c r="AA95" s="673"/>
      <c r="AB95" s="673"/>
      <c r="AC95" s="673"/>
      <c r="AD95" s="673"/>
      <c r="AE95" s="673"/>
      <c r="AF95" s="673"/>
      <c r="AG95" s="673"/>
      <c r="AH95" s="673"/>
      <c r="AI95" s="673">
        <v>18.16</v>
      </c>
      <c r="AJ95" s="673"/>
      <c r="AK95" s="673"/>
      <c r="AL95" s="673"/>
      <c r="AM95" s="673"/>
      <c r="AN95" s="673"/>
      <c r="AO95" s="673"/>
      <c r="AP95" s="673"/>
      <c r="AQ95" s="673"/>
    </row>
    <row r="96" spans="2:44" ht="30">
      <c r="B96" s="818"/>
      <c r="C96" s="704"/>
      <c r="D96" s="886" t="s">
        <v>1667</v>
      </c>
      <c r="E96" s="673"/>
      <c r="F96" s="673"/>
      <c r="G96" s="673"/>
      <c r="H96" s="673"/>
      <c r="I96" s="673"/>
      <c r="J96" s="862" t="s">
        <v>1848</v>
      </c>
      <c r="K96" s="862" t="s">
        <v>1848</v>
      </c>
      <c r="L96" s="862" t="s">
        <v>1849</v>
      </c>
      <c r="M96" s="862" t="s">
        <v>1849</v>
      </c>
      <c r="N96" s="885"/>
      <c r="P96" s="673"/>
      <c r="Q96" s="674">
        <v>9.89</v>
      </c>
      <c r="R96" s="888"/>
      <c r="S96" s="673"/>
      <c r="T96" s="673"/>
      <c r="U96" s="673"/>
      <c r="V96" s="673"/>
      <c r="W96" s="673"/>
      <c r="X96" s="673"/>
      <c r="Y96" s="889"/>
      <c r="Z96" s="889">
        <v>1</v>
      </c>
      <c r="AA96" s="673"/>
      <c r="AB96" s="673"/>
      <c r="AC96" s="673"/>
      <c r="AD96" s="673"/>
      <c r="AE96" s="673"/>
      <c r="AF96" s="673"/>
      <c r="AG96" s="673"/>
      <c r="AH96" s="673"/>
      <c r="AI96" s="673">
        <v>0</v>
      </c>
      <c r="AJ96" s="673"/>
      <c r="AK96" s="673"/>
      <c r="AL96" s="673"/>
      <c r="AM96" s="673"/>
      <c r="AN96" s="673"/>
      <c r="AO96" s="673"/>
      <c r="AP96" s="673"/>
      <c r="AQ96" s="673"/>
    </row>
    <row r="97" spans="2:45">
      <c r="B97" s="818"/>
      <c r="C97" s="695"/>
      <c r="D97" s="744"/>
      <c r="E97" s="697"/>
      <c r="F97" s="697"/>
      <c r="G97" s="674"/>
      <c r="H97" s="674"/>
      <c r="I97" s="674"/>
      <c r="J97" s="674"/>
      <c r="K97" s="674"/>
      <c r="L97" s="674"/>
      <c r="M97" s="674"/>
      <c r="N97" s="674"/>
      <c r="O97" s="674"/>
      <c r="P97" s="674"/>
      <c r="Q97" s="674"/>
      <c r="R97" s="674"/>
      <c r="S97" s="674"/>
      <c r="T97" s="674"/>
      <c r="U97" s="674"/>
      <c r="V97" s="674"/>
      <c r="W97" s="674"/>
      <c r="X97" s="674"/>
      <c r="Y97" s="674"/>
      <c r="Z97" s="674"/>
      <c r="AA97" s="674"/>
      <c r="AB97" s="674"/>
      <c r="AC97" s="674"/>
      <c r="AD97" s="674"/>
      <c r="AE97" s="674"/>
      <c r="AF97" s="674"/>
      <c r="AG97" s="674"/>
      <c r="AH97" s="674"/>
      <c r="AI97" s="674"/>
      <c r="AJ97" s="674"/>
      <c r="AK97" s="674"/>
      <c r="AL97" s="674"/>
      <c r="AM97" s="674"/>
      <c r="AN97" s="674"/>
      <c r="AO97" s="674"/>
      <c r="AP97" s="674"/>
      <c r="AQ97" s="674"/>
    </row>
    <row r="98" spans="2:45">
      <c r="B98" s="818"/>
      <c r="C98" s="695"/>
      <c r="D98" s="744"/>
      <c r="E98" s="697"/>
      <c r="F98" s="697"/>
      <c r="G98" s="674"/>
      <c r="H98" s="674"/>
      <c r="I98" s="674"/>
      <c r="J98" s="674"/>
      <c r="K98" s="674"/>
      <c r="L98" s="674"/>
      <c r="M98" s="674"/>
      <c r="N98" s="674"/>
      <c r="O98" s="674"/>
      <c r="P98" s="674"/>
      <c r="Q98" s="674"/>
      <c r="R98" s="674"/>
      <c r="S98" s="674"/>
      <c r="T98" s="674"/>
      <c r="U98" s="674"/>
      <c r="V98" s="674"/>
      <c r="W98" s="674"/>
      <c r="X98" s="674"/>
      <c r="Y98" s="674"/>
      <c r="Z98" s="674"/>
      <c r="AA98" s="674"/>
      <c r="AB98" s="674"/>
      <c r="AC98" s="674"/>
      <c r="AD98" s="674"/>
      <c r="AE98" s="674"/>
      <c r="AF98" s="674"/>
      <c r="AG98" s="674"/>
      <c r="AH98" s="674"/>
      <c r="AI98" s="674"/>
      <c r="AJ98" s="674"/>
      <c r="AK98" s="674"/>
      <c r="AL98" s="674"/>
      <c r="AM98" s="674"/>
      <c r="AN98" s="674"/>
      <c r="AO98" s="674"/>
      <c r="AP98" s="674"/>
      <c r="AQ98" s="674"/>
    </row>
    <row r="99" spans="2:45" ht="15.75" thickBot="1">
      <c r="B99" s="818"/>
      <c r="C99" s="748" t="s">
        <v>278</v>
      </c>
      <c r="D99" s="749"/>
      <c r="E99" s="750"/>
      <c r="F99" s="750"/>
      <c r="G99" s="674"/>
      <c r="H99" s="674"/>
      <c r="I99" s="674"/>
      <c r="J99" s="674"/>
      <c r="K99" s="674"/>
      <c r="L99" s="674"/>
      <c r="M99" s="674"/>
      <c r="N99" s="674"/>
      <c r="O99" s="674"/>
      <c r="P99" s="674"/>
      <c r="Q99" s="674"/>
      <c r="R99" s="674"/>
      <c r="S99" s="674"/>
      <c r="T99" s="674"/>
      <c r="U99" s="674"/>
      <c r="V99" s="674"/>
      <c r="W99" s="674"/>
      <c r="X99" s="674"/>
      <c r="Y99" s="674"/>
      <c r="Z99" s="674"/>
      <c r="AA99" s="674"/>
      <c r="AB99" s="674"/>
      <c r="AC99" s="674"/>
      <c r="AD99" s="674"/>
      <c r="AE99" s="674"/>
      <c r="AF99" s="674"/>
      <c r="AG99" s="674"/>
      <c r="AH99" s="674"/>
      <c r="AI99" s="674"/>
      <c r="AJ99" s="674"/>
      <c r="AK99" s="674"/>
      <c r="AL99" s="674"/>
      <c r="AM99" s="674"/>
      <c r="AN99" s="674"/>
      <c r="AO99" s="674"/>
      <c r="AP99" s="674"/>
      <c r="AQ99" s="674"/>
    </row>
    <row r="100" spans="2:45">
      <c r="B100" s="818"/>
      <c r="C100" s="764"/>
      <c r="D100" s="701"/>
      <c r="E100" s="668"/>
      <c r="F100" s="668"/>
      <c r="G100" s="674"/>
      <c r="H100" s="674"/>
      <c r="I100" s="674"/>
      <c r="J100" s="674"/>
      <c r="K100" s="674"/>
      <c r="L100" s="674"/>
      <c r="M100" s="674"/>
      <c r="N100" s="674"/>
      <c r="O100" s="674"/>
      <c r="P100" s="674"/>
      <c r="Q100" s="674"/>
      <c r="R100" s="674"/>
      <c r="S100" s="674"/>
      <c r="T100" s="674"/>
      <c r="U100" s="674"/>
      <c r="V100" s="674"/>
      <c r="W100" s="674"/>
      <c r="X100" s="674"/>
      <c r="Y100" s="674"/>
      <c r="Z100" s="674"/>
      <c r="AA100" s="674"/>
      <c r="AB100" s="674"/>
      <c r="AC100" s="674"/>
      <c r="AD100" s="674"/>
      <c r="AE100" s="674"/>
      <c r="AF100" s="674"/>
      <c r="AG100" s="674"/>
      <c r="AH100" s="674"/>
      <c r="AI100" s="873"/>
      <c r="AJ100" s="674"/>
      <c r="AK100" s="674"/>
      <c r="AL100" s="674"/>
      <c r="AM100" s="674"/>
      <c r="AN100" s="674"/>
      <c r="AO100" s="674"/>
      <c r="AP100" s="674"/>
      <c r="AQ100" s="674"/>
      <c r="AS100" s="929">
        <f>SUM(AI61:AI99)</f>
        <v>318.29000000000002</v>
      </c>
    </row>
    <row r="101" spans="2:45">
      <c r="B101" s="818"/>
      <c r="C101" s="704" t="s">
        <v>60</v>
      </c>
      <c r="D101" s="672"/>
      <c r="E101" s="673"/>
      <c r="F101" s="673"/>
      <c r="G101" s="674"/>
      <c r="H101" s="674"/>
      <c r="I101" s="674"/>
      <c r="J101" s="674"/>
      <c r="K101" s="674"/>
      <c r="L101" s="674"/>
      <c r="M101" s="674"/>
      <c r="N101" s="674"/>
      <c r="O101" s="674"/>
      <c r="P101" s="674"/>
      <c r="Q101" s="674"/>
      <c r="R101" s="674"/>
      <c r="S101" s="674"/>
      <c r="T101" s="674"/>
      <c r="U101" s="674"/>
      <c r="V101" s="674"/>
      <c r="W101" s="674"/>
      <c r="X101" s="674"/>
      <c r="Y101" s="674"/>
      <c r="Z101" s="674"/>
      <c r="AA101" s="674"/>
      <c r="AB101" s="674"/>
      <c r="AC101" s="674"/>
      <c r="AD101" s="674"/>
      <c r="AE101" s="674"/>
      <c r="AF101" s="674"/>
      <c r="AG101" s="674"/>
      <c r="AH101" s="674"/>
      <c r="AI101" s="674"/>
      <c r="AJ101" s="674"/>
      <c r="AK101" s="674"/>
      <c r="AL101" s="674"/>
      <c r="AM101" s="674"/>
      <c r="AN101" s="674"/>
      <c r="AO101" s="674"/>
      <c r="AP101" s="674"/>
      <c r="AQ101" s="674"/>
    </row>
    <row r="102" spans="2:45">
      <c r="B102" s="818"/>
      <c r="C102" s="671" t="s">
        <v>276</v>
      </c>
      <c r="D102" s="672"/>
      <c r="E102" s="673"/>
      <c r="F102" s="673"/>
      <c r="G102" s="674"/>
      <c r="H102" s="674"/>
      <c r="I102" s="674"/>
      <c r="J102" s="674"/>
      <c r="K102" s="674"/>
      <c r="L102" s="674"/>
      <c r="M102" s="674"/>
      <c r="N102" s="674"/>
      <c r="O102" s="674"/>
      <c r="P102" s="674"/>
      <c r="Q102" s="674"/>
      <c r="R102" s="674"/>
      <c r="S102" s="674"/>
      <c r="T102" s="674"/>
      <c r="U102" s="674"/>
      <c r="V102" s="674"/>
      <c r="W102" s="674"/>
      <c r="X102" s="674"/>
      <c r="Y102" s="674"/>
      <c r="Z102" s="674"/>
      <c r="AA102" s="674"/>
      <c r="AB102" s="674"/>
      <c r="AC102" s="674"/>
      <c r="AD102" s="674"/>
      <c r="AE102" s="674"/>
      <c r="AF102" s="674"/>
      <c r="AG102" s="674"/>
      <c r="AH102" s="674"/>
      <c r="AI102" s="674"/>
      <c r="AJ102" s="674"/>
      <c r="AK102" s="674"/>
      <c r="AL102" s="674"/>
      <c r="AM102" s="674"/>
      <c r="AN102" s="674"/>
      <c r="AO102" s="674"/>
      <c r="AP102" s="674"/>
      <c r="AQ102" s="674"/>
    </row>
    <row r="103" spans="2:45">
      <c r="B103" s="818"/>
      <c r="C103" s="676" t="s">
        <v>277</v>
      </c>
      <c r="D103" s="791" t="s">
        <v>1841</v>
      </c>
      <c r="E103" s="792"/>
      <c r="F103" s="673"/>
      <c r="G103" s="674"/>
      <c r="H103" s="674"/>
      <c r="I103" s="674"/>
      <c r="J103" s="674"/>
      <c r="K103" s="874" t="s">
        <v>1629</v>
      </c>
      <c r="L103" s="874"/>
      <c r="M103" s="674" t="s">
        <v>1850</v>
      </c>
      <c r="N103" s="874"/>
      <c r="O103" s="674"/>
      <c r="P103" s="674"/>
      <c r="Q103" s="674"/>
      <c r="R103" s="873">
        <v>56</v>
      </c>
      <c r="S103" s="674"/>
      <c r="T103" s="674"/>
      <c r="U103" s="674"/>
      <c r="V103" s="674"/>
      <c r="W103" s="674"/>
      <c r="X103" s="674"/>
      <c r="Y103" s="674"/>
      <c r="Z103" s="674"/>
      <c r="AA103" s="863">
        <v>1</v>
      </c>
      <c r="AB103" s="863"/>
      <c r="AC103" s="674"/>
      <c r="AD103" s="674"/>
      <c r="AE103" s="674"/>
      <c r="AF103" s="674"/>
      <c r="AG103" s="674"/>
      <c r="AH103" s="674"/>
      <c r="AI103" s="674"/>
      <c r="AJ103" s="873">
        <v>56</v>
      </c>
      <c r="AK103" s="674"/>
      <c r="AL103" s="674"/>
      <c r="AM103" s="674"/>
      <c r="AN103" s="674"/>
      <c r="AO103" s="674"/>
      <c r="AP103" s="674"/>
      <c r="AQ103" s="674"/>
    </row>
    <row r="104" spans="2:45" ht="30">
      <c r="B104" s="818"/>
      <c r="C104" s="685" t="s">
        <v>278</v>
      </c>
      <c r="D104" s="943" t="s">
        <v>1647</v>
      </c>
      <c r="E104" s="792" t="s">
        <v>1671</v>
      </c>
      <c r="F104" s="822">
        <v>45457</v>
      </c>
      <c r="G104" s="673"/>
      <c r="H104" s="673"/>
      <c r="I104" s="673"/>
      <c r="J104" s="673"/>
      <c r="K104" s="673"/>
      <c r="L104" s="673"/>
      <c r="M104" s="673"/>
      <c r="N104" s="673"/>
      <c r="O104" s="673"/>
      <c r="P104" s="673"/>
      <c r="Q104" s="673"/>
      <c r="R104" s="673">
        <v>2600</v>
      </c>
      <c r="S104" s="673"/>
      <c r="T104" s="673"/>
      <c r="U104" s="673"/>
      <c r="V104" s="673"/>
      <c r="W104" s="673"/>
      <c r="X104" s="673"/>
      <c r="Y104" s="673"/>
      <c r="Z104" s="673"/>
      <c r="AA104" s="673"/>
      <c r="AB104" s="673"/>
      <c r="AC104" s="673"/>
      <c r="AD104" s="673"/>
      <c r="AE104" s="673"/>
      <c r="AF104" s="673"/>
      <c r="AG104" s="673"/>
      <c r="AH104" s="673"/>
      <c r="AI104" s="673"/>
      <c r="AJ104" s="673">
        <v>0</v>
      </c>
      <c r="AK104" s="673"/>
      <c r="AL104" s="673"/>
      <c r="AM104" s="673"/>
      <c r="AN104" s="673"/>
      <c r="AO104" s="673"/>
      <c r="AP104" s="673"/>
      <c r="AQ104" s="673"/>
    </row>
    <row r="105" spans="2:45">
      <c r="B105" s="818"/>
      <c r="C105" s="685"/>
      <c r="D105" s="882"/>
      <c r="E105" s="882"/>
      <c r="F105" s="882"/>
      <c r="G105" s="882"/>
      <c r="H105" s="882"/>
      <c r="I105" s="882"/>
      <c r="J105" s="882"/>
      <c r="K105" s="882"/>
      <c r="L105" s="882"/>
      <c r="M105" s="882"/>
      <c r="N105" s="882"/>
      <c r="O105" s="816"/>
      <c r="P105" s="816"/>
      <c r="Q105" s="816"/>
      <c r="R105" s="816"/>
      <c r="S105" s="816"/>
      <c r="T105" s="816"/>
      <c r="U105" s="816"/>
      <c r="V105" s="816"/>
      <c r="W105" s="816"/>
      <c r="X105" s="816"/>
      <c r="Y105" s="816"/>
      <c r="Z105" s="816"/>
      <c r="AA105" s="816"/>
      <c r="AB105" s="816"/>
      <c r="AC105" s="816"/>
      <c r="AD105" s="816"/>
      <c r="AE105" s="816"/>
      <c r="AF105" s="816"/>
      <c r="AG105" s="816"/>
      <c r="AH105" s="816"/>
      <c r="AI105" s="816"/>
      <c r="AJ105" s="816"/>
      <c r="AK105" s="816"/>
      <c r="AL105" s="816"/>
      <c r="AM105" s="816"/>
      <c r="AN105" s="816"/>
      <c r="AO105" s="816"/>
      <c r="AP105" s="816"/>
      <c r="AQ105" s="816"/>
    </row>
    <row r="106" spans="2:45">
      <c r="B106" s="818"/>
      <c r="C106" s="685"/>
      <c r="D106" s="791"/>
      <c r="E106" s="673"/>
      <c r="F106" s="673"/>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row>
    <row r="107" spans="2:45">
      <c r="B107" s="818"/>
      <c r="C107" s="676" t="s">
        <v>279</v>
      </c>
      <c r="D107" s="705" t="s">
        <v>1673</v>
      </c>
      <c r="E107" s="673"/>
      <c r="F107" s="673"/>
      <c r="G107" s="674"/>
      <c r="H107" s="674"/>
      <c r="I107" s="674"/>
      <c r="J107" s="674"/>
      <c r="K107" s="674"/>
      <c r="L107" s="674"/>
      <c r="M107" s="674"/>
      <c r="N107" s="674"/>
      <c r="O107" s="674"/>
      <c r="P107" s="674"/>
      <c r="Q107" s="674"/>
      <c r="R107" s="674"/>
      <c r="S107" s="674"/>
      <c r="T107" s="674"/>
      <c r="U107" s="674"/>
      <c r="V107" s="674"/>
      <c r="W107" s="674"/>
      <c r="X107" s="674"/>
      <c r="Y107" s="674"/>
      <c r="Z107" s="674"/>
      <c r="AA107" s="674"/>
      <c r="AB107" s="674"/>
      <c r="AC107" s="674"/>
      <c r="AD107" s="674"/>
      <c r="AE107" s="674"/>
      <c r="AF107" s="674"/>
      <c r="AG107" s="674"/>
      <c r="AH107" s="674"/>
      <c r="AI107" s="674"/>
      <c r="AJ107" s="674"/>
      <c r="AK107" s="674"/>
      <c r="AL107" s="674"/>
      <c r="AM107" s="674"/>
      <c r="AN107" s="674"/>
      <c r="AO107" s="674"/>
      <c r="AP107" s="674"/>
      <c r="AQ107" s="674"/>
    </row>
    <row r="108" spans="2:45">
      <c r="B108" s="818"/>
      <c r="C108" s="685" t="s">
        <v>278</v>
      </c>
      <c r="D108" s="891" t="s">
        <v>1674</v>
      </c>
      <c r="E108" s="673"/>
      <c r="F108" s="673"/>
      <c r="G108" s="674"/>
      <c r="H108" s="674"/>
      <c r="I108" s="674"/>
      <c r="J108" s="674"/>
      <c r="K108" s="674"/>
      <c r="L108" s="674"/>
      <c r="M108" s="674"/>
      <c r="N108" s="674"/>
      <c r="O108" s="674"/>
      <c r="P108" s="674"/>
      <c r="Q108" s="674"/>
      <c r="R108" s="674"/>
      <c r="S108" s="674"/>
      <c r="T108" s="674"/>
      <c r="U108" s="674"/>
      <c r="V108" s="674"/>
      <c r="W108" s="674"/>
      <c r="X108" s="674"/>
      <c r="Y108" s="674"/>
      <c r="Z108" s="674"/>
      <c r="AA108" s="674"/>
      <c r="AB108" s="674"/>
      <c r="AC108" s="674"/>
      <c r="AD108" s="674"/>
      <c r="AE108" s="674"/>
      <c r="AF108" s="674"/>
      <c r="AG108" s="674"/>
      <c r="AH108" s="674"/>
      <c r="AI108" s="674"/>
      <c r="AJ108" s="674"/>
      <c r="AK108" s="674"/>
      <c r="AL108" s="674"/>
      <c r="AM108" s="674"/>
      <c r="AN108" s="674"/>
      <c r="AO108" s="674"/>
      <c r="AP108" s="674"/>
      <c r="AQ108" s="674"/>
    </row>
    <row r="109" spans="2:45">
      <c r="B109" s="818"/>
      <c r="C109" s="685"/>
      <c r="D109" s="791" t="s">
        <v>1675</v>
      </c>
      <c r="E109" s="673"/>
      <c r="F109" s="673"/>
      <c r="G109" s="674"/>
      <c r="H109" s="674"/>
      <c r="I109" s="674"/>
      <c r="J109" s="674"/>
      <c r="K109" s="674"/>
      <c r="L109" s="674"/>
      <c r="M109" s="674"/>
      <c r="N109" s="674"/>
      <c r="O109" s="674"/>
      <c r="P109" s="674"/>
      <c r="Q109" s="674"/>
      <c r="R109" s="674"/>
      <c r="S109" s="674"/>
      <c r="T109" s="674"/>
      <c r="U109" s="674"/>
      <c r="V109" s="674"/>
      <c r="W109" s="674"/>
      <c r="X109" s="674"/>
      <c r="Y109" s="674"/>
      <c r="Z109" s="674"/>
      <c r="AA109" s="674"/>
      <c r="AB109" s="674"/>
      <c r="AC109" s="674"/>
      <c r="AD109" s="674"/>
      <c r="AE109" s="674"/>
      <c r="AF109" s="674"/>
      <c r="AG109" s="674"/>
      <c r="AH109" s="674"/>
      <c r="AI109" s="674"/>
      <c r="AJ109" s="674"/>
      <c r="AK109" s="674"/>
      <c r="AL109" s="674"/>
      <c r="AM109" s="674"/>
      <c r="AN109" s="674"/>
      <c r="AO109" s="674"/>
      <c r="AP109" s="674"/>
      <c r="AQ109" s="674"/>
    </row>
    <row r="110" spans="2:45" ht="45">
      <c r="B110" s="818"/>
      <c r="C110" s="685"/>
      <c r="D110" s="791" t="s">
        <v>1678</v>
      </c>
      <c r="E110" s="792" t="s">
        <v>1678</v>
      </c>
      <c r="F110" s="673"/>
      <c r="G110" s="674"/>
      <c r="H110" s="674"/>
      <c r="I110" s="674"/>
      <c r="J110" s="874" t="s">
        <v>1852</v>
      </c>
      <c r="K110" s="874" t="s">
        <v>1852</v>
      </c>
      <c r="L110" s="874" t="s">
        <v>1853</v>
      </c>
      <c r="M110" s="674"/>
      <c r="N110" s="674"/>
      <c r="O110" s="674"/>
      <c r="P110" s="674"/>
      <c r="Q110" s="674"/>
      <c r="R110" s="674">
        <v>26</v>
      </c>
      <c r="S110" s="674"/>
      <c r="T110" s="674"/>
      <c r="U110" s="674"/>
      <c r="V110" s="674"/>
      <c r="W110" s="674"/>
      <c r="X110" s="674"/>
      <c r="Y110" s="674"/>
      <c r="Z110" s="674"/>
      <c r="AA110" s="863">
        <v>1</v>
      </c>
      <c r="AB110" s="863"/>
      <c r="AC110" s="674"/>
      <c r="AD110" s="674"/>
      <c r="AE110" s="674"/>
      <c r="AF110" s="674"/>
      <c r="AG110" s="674"/>
      <c r="AH110" s="674"/>
      <c r="AI110" s="674"/>
      <c r="AJ110" s="674">
        <v>26</v>
      </c>
      <c r="AK110" s="674"/>
      <c r="AL110" s="674"/>
      <c r="AM110" s="674"/>
      <c r="AN110" s="674"/>
      <c r="AO110" s="674"/>
      <c r="AP110" s="674"/>
      <c r="AQ110" s="674"/>
      <c r="AR110" s="673"/>
    </row>
    <row r="111" spans="2:45" ht="45">
      <c r="B111" s="818"/>
      <c r="C111" s="685"/>
      <c r="D111" s="791" t="s">
        <v>1677</v>
      </c>
      <c r="E111" s="792"/>
      <c r="F111" s="673"/>
      <c r="G111" s="674"/>
      <c r="H111" s="674"/>
      <c r="I111" s="674"/>
      <c r="J111" s="874"/>
      <c r="K111" s="874"/>
      <c r="L111" s="874"/>
      <c r="M111" s="674"/>
      <c r="N111" s="674"/>
      <c r="O111" s="674"/>
      <c r="P111" s="674"/>
      <c r="Q111" s="674"/>
      <c r="R111" s="674">
        <v>985</v>
      </c>
      <c r="S111" s="674"/>
      <c r="T111" s="674"/>
      <c r="U111" s="674"/>
      <c r="V111" s="674"/>
      <c r="W111" s="674"/>
      <c r="X111" s="674"/>
      <c r="Y111" s="674"/>
      <c r="Z111" s="674"/>
      <c r="AA111" s="863">
        <v>1</v>
      </c>
      <c r="AB111" s="863"/>
      <c r="AC111" s="674"/>
      <c r="AD111" s="674"/>
      <c r="AE111" s="674"/>
      <c r="AF111" s="674"/>
      <c r="AG111" s="674"/>
      <c r="AH111" s="674"/>
      <c r="AI111" s="674"/>
      <c r="AJ111" s="674">
        <v>985</v>
      </c>
      <c r="AK111" s="674"/>
      <c r="AL111" s="674"/>
      <c r="AM111" s="674"/>
      <c r="AN111" s="674"/>
      <c r="AO111" s="674"/>
      <c r="AP111" s="674"/>
      <c r="AQ111" s="674"/>
    </row>
    <row r="112" spans="2:45" ht="30">
      <c r="B112" s="818"/>
      <c r="C112" s="685"/>
      <c r="D112" s="791" t="s">
        <v>1680</v>
      </c>
      <c r="E112" s="792" t="s">
        <v>1680</v>
      </c>
      <c r="F112" s="673"/>
      <c r="G112" s="674"/>
      <c r="H112" s="674"/>
      <c r="I112" s="674"/>
      <c r="J112" s="674"/>
      <c r="K112" s="674"/>
      <c r="L112" s="674"/>
      <c r="M112" s="674"/>
      <c r="N112" s="674"/>
      <c r="O112" s="674"/>
      <c r="P112" s="674"/>
      <c r="Q112" s="674"/>
      <c r="R112" s="674">
        <v>116</v>
      </c>
      <c r="S112" s="674" t="s">
        <v>584</v>
      </c>
      <c r="T112" s="674"/>
      <c r="U112" s="674"/>
      <c r="V112" s="674"/>
      <c r="W112" s="674"/>
      <c r="X112" s="674"/>
      <c r="Y112" s="674"/>
      <c r="Z112" s="674"/>
      <c r="AA112" s="863">
        <v>1</v>
      </c>
      <c r="AB112" s="863" t="s">
        <v>584</v>
      </c>
      <c r="AC112" s="674"/>
      <c r="AD112" s="674"/>
      <c r="AE112" s="674"/>
      <c r="AF112" s="674"/>
      <c r="AG112" s="674"/>
      <c r="AH112" s="674"/>
      <c r="AI112" s="674"/>
      <c r="AJ112" s="674"/>
      <c r="AK112" s="674"/>
      <c r="AL112" s="674"/>
      <c r="AM112" s="674"/>
      <c r="AN112" s="674"/>
      <c r="AO112" s="674"/>
      <c r="AP112" s="674"/>
      <c r="AQ112" s="674"/>
    </row>
    <row r="113" spans="2:43" ht="57.75">
      <c r="B113" s="818"/>
      <c r="C113" s="704"/>
      <c r="D113" s="904" t="s">
        <v>1714</v>
      </c>
      <c r="F113" s="673"/>
      <c r="G113" s="673"/>
      <c r="H113" s="673"/>
      <c r="I113" s="792" t="s">
        <v>1855</v>
      </c>
      <c r="J113" s="673"/>
      <c r="K113" s="673"/>
      <c r="L113" s="673"/>
      <c r="M113" s="673"/>
      <c r="N113" s="673"/>
      <c r="O113" s="673"/>
      <c r="P113" s="673"/>
      <c r="Q113" s="673"/>
      <c r="R113" s="905">
        <v>100</v>
      </c>
      <c r="S113" s="673"/>
      <c r="T113" s="673"/>
      <c r="U113" s="673"/>
      <c r="V113" s="673"/>
      <c r="W113" s="673"/>
      <c r="X113" s="673"/>
      <c r="Y113" s="673"/>
      <c r="Z113" s="673"/>
      <c r="AA113" s="889">
        <v>1</v>
      </c>
      <c r="AB113" s="673"/>
      <c r="AC113" s="673"/>
      <c r="AD113" s="673"/>
      <c r="AE113" s="673"/>
      <c r="AF113" s="673"/>
      <c r="AG113" s="673"/>
      <c r="AH113" s="673"/>
      <c r="AI113" s="673"/>
      <c r="AJ113" s="673">
        <f t="shared" ref="AJ113" si="0">R113</f>
        <v>100</v>
      </c>
      <c r="AK113" s="673"/>
      <c r="AL113" s="673"/>
      <c r="AM113" s="673"/>
      <c r="AN113" s="673"/>
      <c r="AO113" s="673"/>
      <c r="AP113" s="673"/>
      <c r="AQ113" s="673"/>
    </row>
    <row r="114" spans="2:43">
      <c r="B114" s="818"/>
      <c r="C114" s="704" t="s">
        <v>280</v>
      </c>
      <c r="D114" s="672"/>
      <c r="E114" s="673"/>
      <c r="F114" s="673"/>
      <c r="G114" s="674"/>
      <c r="H114" s="674"/>
      <c r="I114" s="674"/>
      <c r="J114" s="674"/>
      <c r="K114" s="674"/>
      <c r="L114" s="674"/>
      <c r="M114" s="674"/>
      <c r="N114" s="674"/>
      <c r="O114" s="674"/>
      <c r="P114" s="674"/>
      <c r="Q114" s="674"/>
      <c r="R114" s="674"/>
      <c r="S114" s="674"/>
      <c r="T114" s="674"/>
      <c r="U114" s="674"/>
      <c r="V114" s="674"/>
      <c r="W114" s="674"/>
      <c r="X114" s="674"/>
      <c r="Y114" s="674"/>
      <c r="Z114" s="674"/>
      <c r="AA114" s="674"/>
      <c r="AB114" s="674"/>
      <c r="AC114" s="674"/>
      <c r="AD114" s="674"/>
      <c r="AE114" s="674"/>
      <c r="AF114" s="674"/>
      <c r="AG114" s="674"/>
      <c r="AH114" s="674"/>
      <c r="AI114" s="674"/>
      <c r="AJ114" s="674"/>
      <c r="AK114" s="674"/>
      <c r="AL114" s="674"/>
      <c r="AM114" s="674"/>
      <c r="AN114" s="674"/>
      <c r="AO114" s="674"/>
      <c r="AP114" s="674"/>
      <c r="AQ114" s="674"/>
    </row>
    <row r="115" spans="2:43">
      <c r="B115" s="818"/>
      <c r="C115" s="704"/>
      <c r="D115" s="705" t="s">
        <v>1651</v>
      </c>
      <c r="E115" s="673"/>
      <c r="F115" s="673"/>
      <c r="G115" s="674"/>
      <c r="H115" s="674"/>
      <c r="I115" s="674"/>
      <c r="J115" s="674"/>
      <c r="K115" s="674"/>
      <c r="L115" s="674"/>
      <c r="M115" s="674"/>
      <c r="N115" s="674"/>
      <c r="O115" s="674"/>
      <c r="P115" s="674"/>
      <c r="Q115" s="674"/>
      <c r="R115" s="674">
        <v>40</v>
      </c>
      <c r="S115" s="674"/>
      <c r="T115" s="674"/>
      <c r="U115" s="674"/>
      <c r="V115" s="674"/>
      <c r="W115" s="674"/>
      <c r="X115" s="674"/>
      <c r="Y115" s="674"/>
      <c r="Z115" s="674"/>
      <c r="AA115" s="863">
        <v>1</v>
      </c>
      <c r="AB115" s="674"/>
      <c r="AC115" s="674"/>
      <c r="AD115" s="674"/>
      <c r="AE115" s="674"/>
      <c r="AF115" s="674"/>
      <c r="AG115" s="674"/>
      <c r="AH115" s="674"/>
      <c r="AI115" s="674"/>
      <c r="AJ115" s="674">
        <v>40</v>
      </c>
      <c r="AK115" s="674"/>
      <c r="AL115" s="674"/>
      <c r="AM115" s="674"/>
      <c r="AN115" s="674"/>
      <c r="AO115" s="674"/>
      <c r="AP115" s="674"/>
      <c r="AQ115" s="674"/>
    </row>
    <row r="116" spans="2:43">
      <c r="B116" s="818"/>
      <c r="C116" s="704"/>
      <c r="D116" s="705" t="s">
        <v>1652</v>
      </c>
      <c r="E116" s="673"/>
      <c r="F116" s="673"/>
      <c r="G116" s="674"/>
      <c r="H116" s="674"/>
      <c r="I116" s="674"/>
      <c r="J116" s="674"/>
      <c r="K116" s="674"/>
      <c r="L116" s="674"/>
      <c r="M116" s="674"/>
      <c r="N116" s="674"/>
      <c r="O116" s="674"/>
      <c r="P116" s="674"/>
      <c r="Q116" s="674"/>
      <c r="R116" s="674">
        <v>95</v>
      </c>
      <c r="S116" s="674"/>
      <c r="T116" s="674"/>
      <c r="U116" s="674"/>
      <c r="V116" s="674"/>
      <c r="W116" s="674"/>
      <c r="X116" s="674"/>
      <c r="Y116" s="674"/>
      <c r="Z116" s="674"/>
      <c r="AA116" s="863">
        <v>0</v>
      </c>
      <c r="AB116" s="674"/>
      <c r="AC116" s="674"/>
      <c r="AD116" s="674"/>
      <c r="AE116" s="674"/>
      <c r="AF116" s="674"/>
      <c r="AG116" s="674"/>
      <c r="AH116" s="674"/>
      <c r="AI116" s="674"/>
      <c r="AJ116" s="674">
        <v>0</v>
      </c>
      <c r="AK116" s="674"/>
      <c r="AL116" s="674"/>
      <c r="AM116" s="674"/>
      <c r="AN116" s="674"/>
      <c r="AO116" s="674"/>
      <c r="AP116" s="674"/>
      <c r="AQ116" s="674"/>
    </row>
    <row r="117" spans="2:43">
      <c r="B117" s="818"/>
      <c r="C117" s="704"/>
      <c r="D117" s="705" t="s">
        <v>1653</v>
      </c>
      <c r="E117" s="673"/>
      <c r="F117" s="673"/>
      <c r="G117" s="674"/>
      <c r="H117" s="674"/>
      <c r="I117" s="674"/>
      <c r="J117" s="674"/>
      <c r="K117" s="674"/>
      <c r="L117" s="674"/>
      <c r="M117" s="674"/>
      <c r="N117" s="674"/>
      <c r="O117" s="674"/>
      <c r="P117" s="674"/>
      <c r="Q117" s="674"/>
      <c r="R117" s="674"/>
      <c r="S117" s="674"/>
      <c r="T117" s="674"/>
      <c r="U117" s="674"/>
      <c r="V117" s="674"/>
      <c r="W117" s="674"/>
      <c r="X117" s="674"/>
      <c r="Y117" s="674"/>
      <c r="Z117" s="674"/>
      <c r="AA117" s="674"/>
      <c r="AB117" s="674"/>
      <c r="AC117" s="674"/>
      <c r="AD117" s="674"/>
      <c r="AE117" s="674"/>
      <c r="AF117" s="674"/>
      <c r="AG117" s="674"/>
      <c r="AH117" s="674"/>
      <c r="AI117" s="674"/>
      <c r="AJ117" s="674"/>
      <c r="AK117" s="674"/>
      <c r="AL117" s="674"/>
      <c r="AM117" s="674"/>
      <c r="AN117" s="674"/>
      <c r="AO117" s="674"/>
      <c r="AP117" s="674"/>
      <c r="AQ117" s="674"/>
    </row>
    <row r="118" spans="2:43">
      <c r="B118" s="818"/>
      <c r="C118" s="704"/>
      <c r="D118" s="705" t="s">
        <v>1685</v>
      </c>
      <c r="E118" s="673"/>
      <c r="F118" s="673"/>
      <c r="G118" s="674"/>
      <c r="H118" s="674"/>
      <c r="I118" s="674"/>
      <c r="J118" s="674"/>
      <c r="K118" s="674"/>
      <c r="L118" s="674"/>
      <c r="M118" s="674"/>
      <c r="N118" s="674"/>
      <c r="O118" s="674"/>
      <c r="P118" s="674"/>
      <c r="Q118" s="674"/>
      <c r="R118" s="674">
        <v>20</v>
      </c>
      <c r="S118" s="674"/>
      <c r="T118" s="674"/>
      <c r="U118" s="674"/>
      <c r="V118" s="674"/>
      <c r="W118" s="674"/>
      <c r="X118" s="674"/>
      <c r="Y118" s="674"/>
      <c r="Z118" s="674"/>
      <c r="AA118" s="863">
        <v>1</v>
      </c>
      <c r="AB118" s="674"/>
      <c r="AC118" s="674"/>
      <c r="AD118" s="674"/>
      <c r="AE118" s="674"/>
      <c r="AF118" s="674"/>
      <c r="AG118" s="674"/>
      <c r="AH118" s="674"/>
      <c r="AI118" s="674"/>
      <c r="AJ118" s="674">
        <v>20</v>
      </c>
      <c r="AK118" s="674"/>
      <c r="AL118" s="674"/>
      <c r="AM118" s="674"/>
      <c r="AN118" s="674"/>
      <c r="AO118" s="674"/>
      <c r="AP118" s="674"/>
      <c r="AQ118" s="674"/>
    </row>
    <row r="119" spans="2:43">
      <c r="B119" s="818"/>
      <c r="C119" s="704"/>
      <c r="D119" s="705" t="s">
        <v>1657</v>
      </c>
      <c r="E119" s="673"/>
      <c r="F119" s="673"/>
      <c r="G119" s="674"/>
      <c r="H119" s="674"/>
      <c r="I119" s="674"/>
      <c r="J119" s="674"/>
      <c r="K119" s="674"/>
      <c r="L119" s="674"/>
      <c r="M119" s="674"/>
      <c r="N119" s="674"/>
      <c r="O119" s="674"/>
      <c r="P119" s="674"/>
      <c r="Q119" s="674"/>
      <c r="R119" s="674">
        <v>25</v>
      </c>
      <c r="T119" s="674"/>
      <c r="U119" s="674"/>
      <c r="V119" s="674"/>
      <c r="W119" s="674"/>
      <c r="X119" s="674"/>
      <c r="Y119" s="674"/>
      <c r="Z119" s="674"/>
      <c r="AA119" s="863">
        <v>0.5</v>
      </c>
      <c r="AB119" s="863">
        <v>0.5</v>
      </c>
      <c r="AC119" s="674"/>
      <c r="AD119" s="674"/>
      <c r="AE119" s="674"/>
      <c r="AF119" s="674"/>
      <c r="AG119" s="674"/>
      <c r="AH119" s="674"/>
      <c r="AI119" s="674"/>
      <c r="AJ119" s="674">
        <v>25</v>
      </c>
      <c r="AK119" s="674"/>
      <c r="AL119" s="674"/>
      <c r="AM119" s="674"/>
      <c r="AN119" s="674"/>
      <c r="AO119" s="674"/>
      <c r="AP119" s="674"/>
      <c r="AQ119" s="674"/>
    </row>
    <row r="120" spans="2:43" ht="45">
      <c r="B120" s="818"/>
      <c r="C120" s="704"/>
      <c r="D120" s="705" t="s">
        <v>1659</v>
      </c>
      <c r="E120" s="791" t="s">
        <v>1844</v>
      </c>
      <c r="F120" s="673"/>
      <c r="G120" s="674"/>
      <c r="H120" s="674"/>
      <c r="I120" s="674"/>
      <c r="J120" s="674"/>
      <c r="K120" s="674"/>
      <c r="L120" s="674"/>
      <c r="M120" s="674"/>
      <c r="N120" s="674"/>
      <c r="O120" s="674"/>
      <c r="P120" s="674"/>
      <c r="Q120" s="674"/>
      <c r="R120" s="674"/>
      <c r="S120" s="674"/>
      <c r="T120" s="674"/>
      <c r="U120" s="674"/>
      <c r="V120" s="674"/>
      <c r="W120" s="674"/>
      <c r="X120" s="674"/>
      <c r="Y120" s="674"/>
      <c r="Z120" s="674"/>
      <c r="AA120" s="674"/>
      <c r="AB120" s="674"/>
      <c r="AC120" s="674"/>
      <c r="AD120" s="674"/>
      <c r="AE120" s="674"/>
      <c r="AF120" s="674"/>
      <c r="AG120" s="674"/>
      <c r="AH120" s="674"/>
      <c r="AI120" s="674"/>
      <c r="AJ120" s="674"/>
      <c r="AK120" s="674"/>
      <c r="AL120" s="674"/>
      <c r="AM120" s="674"/>
      <c r="AN120" s="674"/>
      <c r="AO120" s="674"/>
      <c r="AP120" s="674"/>
      <c r="AQ120" s="674"/>
    </row>
    <row r="121" spans="2:43">
      <c r="B121" s="818"/>
      <c r="C121" s="704"/>
      <c r="D121" s="899" t="s">
        <v>1687</v>
      </c>
      <c r="E121" s="673"/>
      <c r="F121" s="673"/>
      <c r="G121" s="673"/>
      <c r="H121" s="673"/>
      <c r="I121" s="673"/>
      <c r="J121" s="673" t="s">
        <v>1689</v>
      </c>
      <c r="L121" s="673" t="s">
        <v>1690</v>
      </c>
      <c r="M121" s="673"/>
      <c r="N121" s="673"/>
      <c r="O121" s="673"/>
      <c r="P121" s="673"/>
      <c r="Q121" s="673"/>
      <c r="R121" s="888">
        <v>7.94</v>
      </c>
      <c r="S121" s="673"/>
      <c r="T121" s="673"/>
      <c r="U121" s="673"/>
      <c r="V121" s="673"/>
      <c r="W121" s="673"/>
      <c r="X121" s="673"/>
      <c r="Y121" s="673"/>
      <c r="Z121" s="673"/>
      <c r="AA121" s="863">
        <v>1</v>
      </c>
      <c r="AB121" s="673"/>
      <c r="AC121" s="673"/>
      <c r="AD121" s="673"/>
      <c r="AE121" s="673"/>
      <c r="AF121" s="673"/>
      <c r="AG121" s="673"/>
      <c r="AH121" s="673"/>
      <c r="AI121" s="673"/>
      <c r="AJ121" s="673">
        <f>R121</f>
        <v>7.94</v>
      </c>
      <c r="AK121" s="673"/>
      <c r="AL121" s="673"/>
      <c r="AM121" s="673"/>
      <c r="AN121" s="673"/>
      <c r="AO121" s="673"/>
      <c r="AP121" s="673"/>
      <c r="AQ121" s="673"/>
    </row>
    <row r="122" spans="2:43">
      <c r="B122" s="818"/>
      <c r="C122" s="704"/>
      <c r="D122" s="900" t="s">
        <v>1691</v>
      </c>
      <c r="E122" s="673"/>
      <c r="F122" s="673"/>
      <c r="G122" s="673"/>
      <c r="H122" s="673"/>
      <c r="I122" s="673"/>
      <c r="J122" s="901" t="s">
        <v>1693</v>
      </c>
      <c r="K122" s="901"/>
      <c r="L122" s="901" t="s">
        <v>1694</v>
      </c>
      <c r="M122" s="673"/>
      <c r="N122" s="673"/>
      <c r="O122" s="673"/>
      <c r="P122" s="673"/>
      <c r="Q122" s="673"/>
      <c r="R122" s="902">
        <v>3.07</v>
      </c>
      <c r="S122" s="673"/>
      <c r="T122" s="673"/>
      <c r="U122" s="673"/>
      <c r="V122" s="673"/>
      <c r="W122" s="673"/>
      <c r="X122" s="673"/>
      <c r="Y122" s="673"/>
      <c r="Z122" s="673"/>
      <c r="AA122" s="863">
        <v>1</v>
      </c>
      <c r="AB122" s="673"/>
      <c r="AC122" s="673"/>
      <c r="AD122" s="673"/>
      <c r="AE122" s="673"/>
      <c r="AF122" s="673"/>
      <c r="AG122" s="673"/>
      <c r="AH122" s="673"/>
      <c r="AI122" s="673"/>
      <c r="AJ122" s="673">
        <v>3.07</v>
      </c>
      <c r="AK122" s="673"/>
      <c r="AL122" s="673"/>
      <c r="AM122" s="673"/>
      <c r="AN122" s="673"/>
      <c r="AO122" s="673"/>
      <c r="AP122" s="673"/>
      <c r="AQ122" s="673"/>
    </row>
    <row r="123" spans="2:43">
      <c r="B123" s="818"/>
      <c r="C123" s="704"/>
      <c r="D123" s="900" t="s">
        <v>1695</v>
      </c>
      <c r="E123" s="673"/>
      <c r="F123" s="673"/>
      <c r="G123" s="673"/>
      <c r="H123" s="673"/>
      <c r="I123" s="673"/>
      <c r="K123" s="673"/>
      <c r="M123" s="673"/>
      <c r="N123" s="673"/>
      <c r="P123" s="673"/>
      <c r="Q123" s="673"/>
      <c r="R123" s="888">
        <v>15.14</v>
      </c>
      <c r="S123" s="673"/>
      <c r="T123" s="673"/>
      <c r="U123" s="673"/>
      <c r="V123" s="673"/>
      <c r="W123" s="673"/>
      <c r="X123" s="673"/>
      <c r="Y123" s="673"/>
      <c r="Z123" s="673"/>
      <c r="AA123" s="863">
        <v>1</v>
      </c>
      <c r="AB123" s="673"/>
      <c r="AC123" s="673"/>
      <c r="AD123" s="673"/>
      <c r="AE123" s="673"/>
      <c r="AF123" s="673"/>
      <c r="AG123" s="673"/>
      <c r="AH123" s="673"/>
      <c r="AI123" s="673"/>
      <c r="AJ123" s="673">
        <v>15.14</v>
      </c>
      <c r="AK123" s="673"/>
      <c r="AL123" s="673"/>
      <c r="AM123" s="673"/>
      <c r="AN123" s="673"/>
      <c r="AO123" s="673"/>
      <c r="AP123" s="673"/>
      <c r="AQ123" s="673" t="s">
        <v>1697</v>
      </c>
    </row>
    <row r="124" spans="2:43">
      <c r="B124" s="818"/>
      <c r="C124" s="704"/>
      <c r="D124" s="900" t="s">
        <v>1698</v>
      </c>
      <c r="E124" s="673"/>
      <c r="F124" s="673"/>
      <c r="G124" s="673"/>
      <c r="H124" s="673"/>
      <c r="J124" s="673"/>
      <c r="K124" s="673"/>
      <c r="L124" s="673"/>
      <c r="M124" s="673"/>
      <c r="N124" s="673"/>
      <c r="O124" s="673"/>
      <c r="P124" s="673"/>
      <c r="Q124" s="673"/>
      <c r="R124" s="888">
        <v>24.01</v>
      </c>
      <c r="S124" s="673"/>
      <c r="T124" s="673"/>
      <c r="U124" s="673"/>
      <c r="V124" s="673"/>
      <c r="W124" s="673"/>
      <c r="X124" s="673"/>
      <c r="Y124" s="673"/>
      <c r="Z124" s="673"/>
      <c r="AA124" s="863">
        <v>1</v>
      </c>
      <c r="AB124" s="673"/>
      <c r="AC124" s="673"/>
      <c r="AD124" s="673"/>
      <c r="AE124" s="673"/>
      <c r="AF124" s="673"/>
      <c r="AG124" s="673"/>
      <c r="AH124" s="673"/>
      <c r="AI124" s="673"/>
      <c r="AJ124" s="673">
        <v>24.01</v>
      </c>
      <c r="AK124" s="673"/>
      <c r="AL124" s="673"/>
      <c r="AM124" s="673"/>
      <c r="AN124" s="673"/>
      <c r="AO124" s="673"/>
      <c r="AP124" s="673"/>
      <c r="AQ124" s="673" t="s">
        <v>1700</v>
      </c>
    </row>
    <row r="125" spans="2:43">
      <c r="B125" s="818"/>
      <c r="C125" s="704"/>
      <c r="D125" s="705" t="s">
        <v>1701</v>
      </c>
      <c r="E125" s="673"/>
      <c r="F125" s="792"/>
      <c r="G125" s="674"/>
      <c r="H125" s="674"/>
      <c r="I125" s="674"/>
      <c r="J125" s="674"/>
      <c r="K125" s="674"/>
      <c r="L125" s="674"/>
      <c r="M125" s="674"/>
      <c r="N125" s="674"/>
      <c r="O125" s="674"/>
      <c r="P125" s="674"/>
      <c r="Q125" s="674"/>
      <c r="R125" s="674"/>
      <c r="S125" s="674"/>
      <c r="T125" s="674"/>
      <c r="U125" s="674"/>
      <c r="V125" s="674"/>
      <c r="W125" s="674"/>
      <c r="X125" s="674"/>
      <c r="Y125" s="674"/>
      <c r="Z125" s="674"/>
      <c r="AA125" s="674"/>
      <c r="AB125" s="674"/>
      <c r="AC125" s="674"/>
      <c r="AD125" s="674"/>
      <c r="AE125" s="674"/>
      <c r="AF125" s="674"/>
      <c r="AG125" s="674"/>
      <c r="AH125" s="674"/>
      <c r="AI125" s="674"/>
      <c r="AJ125" s="674"/>
      <c r="AK125" s="674"/>
      <c r="AL125" s="674"/>
      <c r="AM125" s="674"/>
      <c r="AN125" s="674"/>
      <c r="AO125" s="674"/>
      <c r="AP125" s="674"/>
      <c r="AQ125" s="674"/>
    </row>
    <row r="126" spans="2:43">
      <c r="B126" s="818"/>
      <c r="C126" s="704"/>
      <c r="D126" s="899" t="s">
        <v>1702</v>
      </c>
      <c r="E126" s="673"/>
      <c r="F126" s="673"/>
      <c r="G126" s="673"/>
      <c r="H126" s="673"/>
      <c r="I126" s="673"/>
      <c r="J126" s="673"/>
      <c r="K126" s="673"/>
      <c r="L126" s="673"/>
      <c r="M126" s="673"/>
      <c r="N126" s="673"/>
      <c r="O126" s="673"/>
      <c r="P126" s="673"/>
      <c r="Q126" s="673"/>
      <c r="R126" s="888">
        <v>50</v>
      </c>
      <c r="S126" s="673"/>
      <c r="T126" s="673"/>
      <c r="U126" s="673"/>
      <c r="V126" s="673"/>
      <c r="W126" s="673"/>
      <c r="X126" s="673"/>
      <c r="Y126" s="673"/>
      <c r="Z126" s="673"/>
      <c r="AA126" s="889">
        <v>1</v>
      </c>
      <c r="AB126" s="673"/>
      <c r="AC126" s="673"/>
      <c r="AD126" s="673"/>
      <c r="AE126" s="673"/>
      <c r="AF126" s="673"/>
      <c r="AG126" s="673"/>
      <c r="AH126" s="673"/>
      <c r="AI126" s="673"/>
      <c r="AJ126" s="673">
        <v>50</v>
      </c>
      <c r="AK126" s="673"/>
      <c r="AL126" s="673"/>
      <c r="AM126" s="673"/>
      <c r="AN126" s="673"/>
      <c r="AO126" s="673"/>
      <c r="AP126" s="673"/>
      <c r="AQ126" s="673"/>
    </row>
    <row r="127" spans="2:43">
      <c r="B127" s="818"/>
      <c r="C127" s="704"/>
      <c r="D127" s="899" t="s">
        <v>1703</v>
      </c>
      <c r="E127" s="673"/>
      <c r="F127" s="673"/>
      <c r="G127" s="673"/>
      <c r="H127" s="673"/>
      <c r="I127" s="673"/>
      <c r="J127" s="673"/>
      <c r="K127" s="673"/>
      <c r="L127" s="673"/>
      <c r="M127" s="673"/>
      <c r="N127" s="673"/>
      <c r="O127" s="673"/>
      <c r="P127" s="673"/>
      <c r="Q127" s="673"/>
      <c r="R127" s="888">
        <v>10</v>
      </c>
      <c r="S127" s="673"/>
      <c r="T127" s="673"/>
      <c r="U127" s="673"/>
      <c r="V127" s="673"/>
      <c r="W127" s="673"/>
      <c r="X127" s="673"/>
      <c r="Y127" s="673"/>
      <c r="Z127" s="673"/>
      <c r="AA127" s="889">
        <v>1</v>
      </c>
      <c r="AB127" s="673"/>
      <c r="AC127" s="673"/>
      <c r="AD127" s="673"/>
      <c r="AE127" s="673"/>
      <c r="AF127" s="673"/>
      <c r="AG127" s="673"/>
      <c r="AH127" s="673"/>
      <c r="AI127" s="673"/>
      <c r="AJ127" s="673">
        <v>10</v>
      </c>
      <c r="AK127" s="673"/>
      <c r="AL127" s="673"/>
      <c r="AM127" s="673"/>
      <c r="AN127" s="673"/>
      <c r="AO127" s="673"/>
      <c r="AP127" s="673"/>
      <c r="AQ127" s="673"/>
    </row>
    <row r="128" spans="2:43">
      <c r="B128" s="818"/>
      <c r="C128" s="704"/>
      <c r="D128" s="705" t="s">
        <v>1704</v>
      </c>
      <c r="E128" s="673"/>
      <c r="F128" s="673"/>
      <c r="G128" s="674"/>
      <c r="H128" s="674"/>
      <c r="I128" s="674"/>
      <c r="J128" s="674"/>
      <c r="K128" s="674"/>
      <c r="L128" s="674"/>
      <c r="M128" s="674"/>
      <c r="N128" s="674"/>
      <c r="O128" s="674"/>
      <c r="P128" s="674"/>
      <c r="Q128" s="674"/>
      <c r="R128" s="674"/>
      <c r="S128" s="674"/>
      <c r="T128" s="674"/>
      <c r="U128" s="674"/>
      <c r="V128" s="674"/>
      <c r="W128" s="674"/>
      <c r="X128" s="674"/>
      <c r="Y128" s="674"/>
      <c r="Z128" s="674"/>
      <c r="AA128" s="674"/>
      <c r="AB128" s="674"/>
      <c r="AC128" s="674"/>
      <c r="AD128" s="674"/>
      <c r="AE128" s="674"/>
      <c r="AF128" s="674"/>
      <c r="AG128" s="674"/>
      <c r="AH128" s="674"/>
      <c r="AI128" s="674"/>
      <c r="AJ128" s="674"/>
      <c r="AK128" s="674"/>
      <c r="AL128" s="674"/>
      <c r="AM128" s="674"/>
      <c r="AN128" s="674"/>
      <c r="AO128" s="674"/>
      <c r="AP128" s="674"/>
      <c r="AQ128" s="674"/>
    </row>
    <row r="129" spans="2:43">
      <c r="B129" s="818"/>
      <c r="C129" s="704"/>
      <c r="D129" s="705" t="s">
        <v>1705</v>
      </c>
      <c r="E129" s="673"/>
      <c r="F129" s="673"/>
      <c r="G129" s="674"/>
      <c r="H129" s="674"/>
      <c r="I129" s="674"/>
      <c r="J129" s="674"/>
      <c r="K129" s="674"/>
      <c r="L129" s="674"/>
      <c r="M129" s="674"/>
      <c r="N129" s="674"/>
      <c r="O129" s="674"/>
      <c r="P129" s="674"/>
      <c r="Q129" s="674"/>
      <c r="R129" s="674"/>
      <c r="S129" s="674"/>
      <c r="T129" s="674"/>
      <c r="U129" s="674"/>
      <c r="V129" s="674"/>
      <c r="W129" s="674"/>
      <c r="X129" s="674"/>
      <c r="Y129" s="674"/>
      <c r="Z129" s="674"/>
      <c r="AA129" s="674"/>
      <c r="AB129" s="674"/>
      <c r="AC129" s="674"/>
      <c r="AD129" s="674"/>
      <c r="AE129" s="674"/>
      <c r="AF129" s="674"/>
      <c r="AG129" s="674"/>
      <c r="AH129" s="674"/>
      <c r="AI129" s="674"/>
      <c r="AJ129" s="674"/>
      <c r="AK129" s="674"/>
      <c r="AL129" s="674"/>
      <c r="AM129" s="674"/>
      <c r="AN129" s="674"/>
      <c r="AO129" s="674"/>
      <c r="AP129" s="674"/>
      <c r="AQ129" s="674"/>
    </row>
    <row r="130" spans="2:43">
      <c r="B130" s="818"/>
      <c r="C130" s="704"/>
      <c r="D130" s="705" t="s">
        <v>1706</v>
      </c>
      <c r="E130" s="673"/>
      <c r="F130" s="673"/>
      <c r="G130" s="674"/>
      <c r="H130" s="674"/>
      <c r="I130" s="674"/>
      <c r="J130" s="674"/>
      <c r="K130" s="674"/>
      <c r="L130" s="674"/>
      <c r="M130" s="674"/>
      <c r="N130" s="674"/>
      <c r="O130" s="674"/>
      <c r="P130" s="674"/>
      <c r="Q130" s="674"/>
      <c r="R130" s="674"/>
      <c r="S130" s="674"/>
      <c r="T130" s="674"/>
      <c r="U130" s="674"/>
      <c r="V130" s="674"/>
      <c r="W130" s="674"/>
      <c r="X130" s="674"/>
      <c r="Y130" s="674"/>
      <c r="Z130" s="674"/>
      <c r="AA130" s="674"/>
      <c r="AB130" s="674"/>
      <c r="AC130" s="674"/>
      <c r="AD130" s="674"/>
      <c r="AE130" s="674"/>
      <c r="AF130" s="674"/>
      <c r="AG130" s="674"/>
      <c r="AH130" s="674"/>
      <c r="AI130" s="674"/>
      <c r="AJ130" s="674"/>
      <c r="AK130" s="674"/>
      <c r="AL130" s="674"/>
      <c r="AM130" s="674"/>
      <c r="AN130" s="674"/>
      <c r="AO130" s="674"/>
      <c r="AP130" s="674"/>
      <c r="AQ130" s="674"/>
    </row>
    <row r="131" spans="2:43">
      <c r="B131" s="818"/>
      <c r="C131" s="704"/>
      <c r="D131" s="705" t="s">
        <v>1707</v>
      </c>
      <c r="E131" s="673"/>
      <c r="F131" s="673"/>
      <c r="G131" s="674"/>
      <c r="H131" s="674"/>
      <c r="I131" s="674"/>
      <c r="J131" s="674"/>
      <c r="K131" s="674"/>
      <c r="L131" s="674"/>
      <c r="M131" s="674"/>
      <c r="N131" s="674"/>
      <c r="O131" s="674"/>
      <c r="P131" s="674"/>
      <c r="Q131" s="674"/>
      <c r="R131" s="674"/>
      <c r="S131" s="674"/>
      <c r="T131" s="674"/>
      <c r="U131" s="674"/>
      <c r="V131" s="674"/>
      <c r="W131" s="674"/>
      <c r="X131" s="674"/>
      <c r="Y131" s="674"/>
      <c r="Z131" s="674"/>
      <c r="AA131" s="674"/>
      <c r="AB131" s="674"/>
      <c r="AC131" s="674"/>
      <c r="AD131" s="674"/>
      <c r="AE131" s="674"/>
      <c r="AF131" s="674"/>
      <c r="AG131" s="674"/>
      <c r="AH131" s="674"/>
      <c r="AI131" s="674"/>
      <c r="AJ131" s="674"/>
      <c r="AK131" s="674"/>
      <c r="AL131" s="674"/>
      <c r="AM131" s="674"/>
      <c r="AN131" s="674"/>
      <c r="AO131" s="674"/>
      <c r="AP131" s="674"/>
      <c r="AQ131" s="674"/>
    </row>
    <row r="132" spans="2:43">
      <c r="B132" s="818"/>
      <c r="C132" s="704"/>
      <c r="D132" s="705" t="s">
        <v>1708</v>
      </c>
      <c r="E132" s="673"/>
      <c r="F132" s="673"/>
      <c r="G132" s="674"/>
      <c r="H132" s="674"/>
      <c r="I132" s="674"/>
      <c r="J132" s="674"/>
      <c r="K132" s="674"/>
      <c r="L132" s="674"/>
      <c r="M132" s="674"/>
      <c r="N132" s="674"/>
      <c r="O132" s="674"/>
      <c r="P132" s="674"/>
      <c r="Q132" s="674"/>
      <c r="R132" s="674"/>
      <c r="S132" s="674"/>
      <c r="T132" s="674"/>
      <c r="U132" s="674"/>
      <c r="V132" s="674"/>
      <c r="W132" s="674"/>
      <c r="X132" s="674"/>
      <c r="Y132" s="674"/>
      <c r="Z132" s="674"/>
      <c r="AA132" s="674"/>
      <c r="AB132" s="674"/>
      <c r="AC132" s="674"/>
      <c r="AD132" s="674"/>
      <c r="AE132" s="674"/>
      <c r="AF132" s="674"/>
      <c r="AG132" s="674"/>
      <c r="AH132" s="674"/>
      <c r="AI132" s="674"/>
      <c r="AJ132" s="674"/>
      <c r="AK132" s="674"/>
      <c r="AL132" s="674"/>
      <c r="AM132" s="674"/>
      <c r="AN132" s="674"/>
      <c r="AO132" s="674"/>
      <c r="AP132" s="674"/>
      <c r="AQ132" s="674"/>
    </row>
    <row r="133" spans="2:43">
      <c r="B133" s="818"/>
      <c r="C133" s="704"/>
      <c r="D133" s="903" t="s">
        <v>1709</v>
      </c>
      <c r="E133" s="673"/>
      <c r="F133" s="673"/>
      <c r="G133" s="673"/>
      <c r="H133" s="673"/>
      <c r="I133" s="673" t="s">
        <v>1700</v>
      </c>
      <c r="J133" s="673"/>
      <c r="K133" s="673"/>
      <c r="L133" s="673"/>
      <c r="M133" s="673"/>
      <c r="N133" s="673"/>
      <c r="O133" s="673"/>
      <c r="P133" s="673"/>
      <c r="Q133" s="673"/>
      <c r="R133" s="888">
        <v>23</v>
      </c>
      <c r="S133" s="673"/>
      <c r="T133" s="673"/>
      <c r="U133" s="673"/>
      <c r="V133" s="673"/>
      <c r="W133" s="673"/>
      <c r="X133" s="673"/>
      <c r="Y133" s="673"/>
      <c r="Z133" s="673"/>
      <c r="AA133" s="889">
        <v>1</v>
      </c>
      <c r="AB133" s="673"/>
      <c r="AC133" s="673"/>
      <c r="AD133" s="673"/>
      <c r="AE133" s="673"/>
      <c r="AF133" s="673"/>
      <c r="AG133" s="673"/>
      <c r="AH133" s="673"/>
      <c r="AI133" s="673"/>
      <c r="AJ133" s="673">
        <f t="shared" ref="AJ133" si="1">R133</f>
        <v>23</v>
      </c>
      <c r="AK133" s="673"/>
      <c r="AL133" s="673"/>
      <c r="AM133" s="673"/>
      <c r="AN133" s="673"/>
      <c r="AO133" s="673"/>
      <c r="AP133" s="673"/>
      <c r="AQ133" s="673"/>
    </row>
    <row r="134" spans="2:43" ht="150.75" thickBot="1">
      <c r="B134" s="818"/>
      <c r="C134" s="805"/>
      <c r="D134" s="736" t="s">
        <v>1710</v>
      </c>
      <c r="E134" s="862" t="s">
        <v>1711</v>
      </c>
      <c r="F134" s="674" t="s">
        <v>1712</v>
      </c>
      <c r="G134" s="862" t="s">
        <v>1713</v>
      </c>
      <c r="H134" s="883"/>
      <c r="I134" s="674"/>
      <c r="J134" s="883" t="s">
        <v>1854</v>
      </c>
      <c r="K134" s="883" t="s">
        <v>1854</v>
      </c>
      <c r="L134" s="674"/>
      <c r="M134" s="883"/>
      <c r="N134" s="674"/>
      <c r="O134" s="674"/>
      <c r="P134" s="674"/>
      <c r="Q134" s="674"/>
      <c r="R134" s="674">
        <v>99.02</v>
      </c>
      <c r="S134" s="674"/>
      <c r="T134" s="674"/>
      <c r="U134" s="674"/>
      <c r="V134" s="674"/>
      <c r="W134" s="674"/>
      <c r="X134" s="674"/>
      <c r="Y134" s="674"/>
      <c r="Z134" s="674"/>
      <c r="AA134" s="889">
        <v>1</v>
      </c>
      <c r="AB134" s="674"/>
      <c r="AC134" s="674"/>
      <c r="AD134" s="674"/>
      <c r="AE134" s="674"/>
      <c r="AF134" s="674"/>
      <c r="AG134" s="674"/>
      <c r="AH134" s="674"/>
      <c r="AI134" s="674"/>
      <c r="AJ134" s="674">
        <v>99.02</v>
      </c>
      <c r="AK134" s="674"/>
      <c r="AL134" s="674"/>
      <c r="AM134" s="674"/>
      <c r="AN134" s="674"/>
      <c r="AO134" s="674"/>
      <c r="AP134" s="674"/>
      <c r="AQ134" s="674"/>
    </row>
    <row r="135" spans="2:43">
      <c r="B135" s="818"/>
      <c r="C135" s="704"/>
      <c r="D135" s="904"/>
      <c r="F135" s="673"/>
      <c r="G135" s="673"/>
      <c r="H135" s="673"/>
      <c r="I135" s="792"/>
      <c r="J135" s="673"/>
      <c r="K135" s="673"/>
      <c r="L135" s="673"/>
      <c r="M135" s="673"/>
      <c r="N135" s="673"/>
      <c r="O135" s="673"/>
      <c r="P135" s="673"/>
      <c r="Q135" s="673"/>
      <c r="R135" s="905"/>
      <c r="S135" s="673"/>
      <c r="T135" s="673"/>
      <c r="U135" s="673"/>
      <c r="V135" s="673"/>
      <c r="W135" s="673"/>
      <c r="X135" s="673"/>
      <c r="Y135" s="673"/>
      <c r="Z135" s="673"/>
      <c r="AA135" s="889"/>
      <c r="AB135" s="673"/>
      <c r="AC135" s="673"/>
      <c r="AD135" s="673"/>
      <c r="AE135" s="673"/>
      <c r="AF135" s="673"/>
      <c r="AG135" s="673"/>
      <c r="AH135" s="673"/>
      <c r="AI135" s="673"/>
      <c r="AJ135" s="673"/>
      <c r="AK135" s="673"/>
      <c r="AL135" s="673"/>
      <c r="AM135" s="673"/>
      <c r="AN135" s="673"/>
      <c r="AO135" s="673"/>
      <c r="AP135" s="673"/>
      <c r="AQ135" s="673"/>
    </row>
    <row r="136" spans="2:43">
      <c r="B136" s="818"/>
      <c r="C136" s="704"/>
      <c r="D136" s="906" t="s">
        <v>1716</v>
      </c>
      <c r="E136" s="673"/>
      <c r="F136" s="673"/>
      <c r="G136" s="673"/>
      <c r="H136" s="673"/>
      <c r="I136" s="673"/>
      <c r="J136" s="673"/>
      <c r="K136" s="673"/>
      <c r="L136" s="673"/>
      <c r="M136" s="673"/>
      <c r="N136" s="673"/>
      <c r="O136" s="673"/>
      <c r="P136" s="673"/>
      <c r="Q136" s="673"/>
      <c r="R136" s="905">
        <v>10</v>
      </c>
      <c r="S136" s="673"/>
      <c r="T136" s="673"/>
      <c r="U136" s="673"/>
      <c r="V136" s="673"/>
      <c r="W136" s="673"/>
      <c r="X136" s="673"/>
      <c r="Y136" s="673"/>
      <c r="Z136" s="673"/>
      <c r="AA136" s="889">
        <v>1</v>
      </c>
      <c r="AB136" s="673"/>
      <c r="AC136" s="673"/>
      <c r="AD136" s="673"/>
      <c r="AE136" s="673"/>
      <c r="AF136" s="673"/>
      <c r="AG136" s="673"/>
      <c r="AH136" s="673"/>
      <c r="AI136" s="673"/>
      <c r="AJ136" s="673">
        <v>10</v>
      </c>
      <c r="AK136" s="673"/>
      <c r="AL136" s="673"/>
      <c r="AM136" s="673"/>
      <c r="AN136" s="673"/>
      <c r="AO136" s="673"/>
      <c r="AP136" s="673"/>
      <c r="AQ136" s="673"/>
    </row>
    <row r="137" spans="2:43" ht="30.75" thickBot="1">
      <c r="B137" s="818"/>
      <c r="C137" s="704"/>
      <c r="D137" s="907" t="s">
        <v>1856</v>
      </c>
      <c r="E137" s="673"/>
      <c r="F137" s="673"/>
      <c r="G137" s="673"/>
      <c r="H137" s="673"/>
      <c r="I137" s="673"/>
      <c r="J137" s="673"/>
      <c r="K137" s="673"/>
      <c r="L137" s="673"/>
      <c r="M137" s="673"/>
      <c r="N137" s="673"/>
      <c r="O137" s="673"/>
      <c r="P137" s="673"/>
      <c r="Q137" s="673"/>
      <c r="R137" s="908">
        <v>15</v>
      </c>
      <c r="S137" s="673"/>
      <c r="T137" s="673"/>
      <c r="U137" s="673"/>
      <c r="V137" s="673"/>
      <c r="W137" s="673"/>
      <c r="X137" s="673"/>
      <c r="Y137" s="673"/>
      <c r="Z137" s="673"/>
      <c r="AA137" s="889">
        <v>1</v>
      </c>
      <c r="AB137" s="673"/>
      <c r="AC137" s="673"/>
      <c r="AD137" s="673"/>
      <c r="AE137" s="673"/>
      <c r="AF137" s="673"/>
      <c r="AG137" s="673"/>
      <c r="AH137" s="673"/>
      <c r="AI137" s="673"/>
      <c r="AJ137" s="673">
        <v>15</v>
      </c>
      <c r="AK137" s="673"/>
      <c r="AL137" s="673"/>
      <c r="AM137" s="673"/>
      <c r="AN137" s="673"/>
      <c r="AO137" s="673"/>
      <c r="AP137" s="673"/>
      <c r="AQ137" s="673"/>
    </row>
    <row r="138" spans="2:43" s="909" customFormat="1" ht="90">
      <c r="B138" s="910"/>
      <c r="C138" s="911"/>
      <c r="D138" s="912" t="s">
        <v>1683</v>
      </c>
      <c r="E138" s="885"/>
      <c r="F138" s="885"/>
      <c r="G138" s="885"/>
      <c r="H138" s="885"/>
      <c r="I138" s="887" t="s">
        <v>1684</v>
      </c>
      <c r="J138" s="885"/>
      <c r="K138" s="885"/>
      <c r="L138" s="885"/>
      <c r="M138" s="885"/>
      <c r="N138" s="885"/>
      <c r="O138" s="885"/>
      <c r="P138" s="885"/>
      <c r="Q138" s="885"/>
      <c r="R138" s="913">
        <v>1.3977999999999999</v>
      </c>
      <c r="S138" s="885"/>
      <c r="T138" s="885"/>
      <c r="U138" s="885"/>
      <c r="V138" s="885"/>
      <c r="W138" s="885"/>
      <c r="X138" s="885"/>
      <c r="Y138" s="885"/>
      <c r="Z138" s="885"/>
      <c r="AA138" s="889">
        <v>1</v>
      </c>
      <c r="AB138" s="885"/>
      <c r="AC138" s="885"/>
      <c r="AD138" s="885"/>
      <c r="AE138" s="885"/>
      <c r="AF138" s="885"/>
      <c r="AG138" s="885"/>
      <c r="AH138" s="885"/>
      <c r="AI138" s="885"/>
      <c r="AJ138" s="885"/>
      <c r="AK138" s="885"/>
      <c r="AL138" s="885"/>
      <c r="AM138" s="885"/>
      <c r="AN138" s="885"/>
      <c r="AO138" s="885"/>
      <c r="AP138" s="885"/>
      <c r="AQ138" s="885"/>
    </row>
    <row r="139" spans="2:43" ht="30">
      <c r="B139" s="818"/>
      <c r="C139" s="704"/>
      <c r="D139" s="886" t="s">
        <v>1637</v>
      </c>
      <c r="E139" s="673"/>
      <c r="F139" s="673"/>
      <c r="G139" s="673"/>
      <c r="H139" s="673"/>
      <c r="I139" s="673"/>
      <c r="J139" s="887" t="s">
        <v>1857</v>
      </c>
      <c r="K139" s="887" t="s">
        <v>1857</v>
      </c>
      <c r="L139" s="887" t="s">
        <v>1858</v>
      </c>
      <c r="M139" s="887" t="s">
        <v>1858</v>
      </c>
      <c r="N139" s="885"/>
      <c r="O139" s="673"/>
      <c r="P139" s="673"/>
      <c r="Q139" s="673"/>
      <c r="R139" s="888">
        <v>33.630000000000003</v>
      </c>
      <c r="S139" s="673"/>
      <c r="T139" s="673"/>
      <c r="U139" s="673"/>
      <c r="V139" s="673"/>
      <c r="W139" s="673"/>
      <c r="X139" s="673"/>
      <c r="Y139" s="889"/>
      <c r="Z139" s="889"/>
      <c r="AA139" s="889">
        <v>1</v>
      </c>
      <c r="AB139" s="673"/>
      <c r="AC139" s="673"/>
      <c r="AD139" s="673"/>
      <c r="AE139" s="673"/>
      <c r="AF139" s="673"/>
      <c r="AG139" s="673"/>
      <c r="AH139" s="673"/>
      <c r="AI139" s="673"/>
      <c r="AJ139" s="888">
        <v>33.630000000000003</v>
      </c>
      <c r="AK139" s="673"/>
      <c r="AL139" s="673"/>
      <c r="AM139" s="673"/>
      <c r="AN139" s="673"/>
      <c r="AO139" s="673"/>
      <c r="AP139" s="673"/>
      <c r="AQ139" s="673"/>
    </row>
    <row r="140" spans="2:43" ht="30.75" thickBot="1">
      <c r="B140" s="818"/>
      <c r="C140" s="704"/>
      <c r="D140" s="886" t="s">
        <v>1667</v>
      </c>
      <c r="E140" s="673"/>
      <c r="F140" s="673"/>
      <c r="G140" s="673"/>
      <c r="H140" s="673"/>
      <c r="I140" s="673"/>
      <c r="J140" s="887" t="s">
        <v>1857</v>
      </c>
      <c r="K140" s="887" t="s">
        <v>1857</v>
      </c>
      <c r="L140" s="887" t="s">
        <v>1858</v>
      </c>
      <c r="M140" s="887" t="s">
        <v>1858</v>
      </c>
      <c r="N140" s="885"/>
      <c r="P140" s="673"/>
      <c r="Q140" s="673"/>
      <c r="R140" s="888">
        <v>10.33</v>
      </c>
      <c r="S140" s="673"/>
      <c r="T140" s="673"/>
      <c r="U140" s="673"/>
      <c r="V140" s="673"/>
      <c r="W140" s="673"/>
      <c r="X140" s="673"/>
      <c r="Y140" s="889"/>
      <c r="Z140" s="889"/>
      <c r="AA140" s="889">
        <v>1</v>
      </c>
      <c r="AB140" s="673"/>
      <c r="AC140" s="673"/>
      <c r="AD140" s="673"/>
      <c r="AE140" s="673"/>
      <c r="AF140" s="673"/>
      <c r="AG140" s="673"/>
      <c r="AH140" s="673"/>
      <c r="AI140" s="673"/>
      <c r="AJ140" s="888">
        <v>10.33</v>
      </c>
      <c r="AK140" s="673"/>
      <c r="AL140" s="673"/>
      <c r="AM140" s="673"/>
      <c r="AN140" s="673"/>
      <c r="AO140" s="673"/>
      <c r="AP140" s="673"/>
      <c r="AQ140" s="673"/>
    </row>
    <row r="141" spans="2:43" ht="28.5">
      <c r="B141" s="818"/>
      <c r="C141" s="836"/>
      <c r="D141" s="701" t="str">
        <f t="shared" ref="D141:M141" si="2">D35</f>
        <v>State specific customization in REMC software and allied additional requirement of hardware through change order</v>
      </c>
      <c r="E141" s="701" t="str">
        <f t="shared" si="2"/>
        <v>As per case No. 233 of 2022</v>
      </c>
      <c r="F141" s="701" t="str">
        <f t="shared" si="2"/>
        <v>31.03.2023</v>
      </c>
      <c r="G141" s="701">
        <f t="shared" si="2"/>
        <v>0</v>
      </c>
      <c r="H141" s="701">
        <f t="shared" si="2"/>
        <v>0</v>
      </c>
      <c r="I141" s="701">
        <f t="shared" si="2"/>
        <v>0</v>
      </c>
      <c r="J141" s="701" t="str">
        <f t="shared" si="2"/>
        <v>21.06.2022</v>
      </c>
      <c r="K141" s="701" t="str">
        <f t="shared" si="2"/>
        <v>21.06.2022</v>
      </c>
      <c r="L141" s="701" t="str">
        <f t="shared" si="2"/>
        <v>08.08.2024</v>
      </c>
      <c r="M141" s="701" t="str">
        <f t="shared" si="2"/>
        <v>08.08.2024</v>
      </c>
      <c r="N141" s="674"/>
      <c r="O141" s="674"/>
      <c r="P141" s="674"/>
      <c r="Q141" s="674"/>
      <c r="R141" s="674">
        <v>70.8</v>
      </c>
      <c r="S141" s="674"/>
      <c r="T141" s="674"/>
      <c r="U141" s="674"/>
      <c r="V141" s="674"/>
      <c r="W141" s="674"/>
      <c r="X141" s="674"/>
      <c r="Y141" s="674"/>
      <c r="Z141" s="674"/>
      <c r="AA141" s="674"/>
      <c r="AB141" s="674"/>
      <c r="AC141" s="674"/>
      <c r="AD141" s="674"/>
      <c r="AE141" s="674"/>
      <c r="AF141" s="674"/>
      <c r="AG141" s="674"/>
      <c r="AH141" s="674"/>
      <c r="AI141" s="674"/>
      <c r="AJ141" s="674">
        <v>70.8</v>
      </c>
      <c r="AK141" s="674"/>
      <c r="AL141" s="674"/>
      <c r="AM141" s="674"/>
      <c r="AN141" s="674"/>
      <c r="AO141" s="674"/>
      <c r="AP141" s="674"/>
      <c r="AQ141" s="674"/>
    </row>
    <row r="142" spans="2:43">
      <c r="B142" s="818"/>
      <c r="C142" s="671" t="s">
        <v>70</v>
      </c>
      <c r="D142" s="672"/>
      <c r="E142" s="818"/>
      <c r="F142" s="818"/>
      <c r="G142" s="674"/>
      <c r="H142" s="674"/>
      <c r="I142" s="674"/>
      <c r="J142" s="674"/>
      <c r="K142" s="674"/>
      <c r="L142" s="674"/>
      <c r="M142" s="674"/>
      <c r="N142" s="674"/>
      <c r="O142" s="674"/>
      <c r="P142" s="674"/>
      <c r="Q142" s="674"/>
      <c r="R142" s="674"/>
      <c r="S142" s="674"/>
      <c r="T142" s="674"/>
      <c r="U142" s="674"/>
      <c r="V142" s="674"/>
      <c r="W142" s="674"/>
      <c r="X142" s="674"/>
      <c r="Y142" s="674"/>
      <c r="Z142" s="674"/>
      <c r="AA142" s="674"/>
      <c r="AB142" s="674"/>
      <c r="AC142" s="674"/>
      <c r="AD142" s="674"/>
      <c r="AE142" s="674"/>
      <c r="AF142" s="674"/>
      <c r="AG142" s="674"/>
      <c r="AH142" s="674"/>
      <c r="AI142" s="674"/>
      <c r="AJ142" s="674"/>
      <c r="AK142" s="674"/>
      <c r="AL142" s="674"/>
      <c r="AM142" s="674"/>
      <c r="AN142" s="674"/>
      <c r="AO142" s="674"/>
      <c r="AP142" s="674"/>
      <c r="AQ142" s="674"/>
    </row>
    <row r="143" spans="2:43">
      <c r="B143" s="818"/>
      <c r="C143" s="671" t="s">
        <v>276</v>
      </c>
      <c r="D143" s="672"/>
      <c r="E143" s="818"/>
      <c r="F143" s="818"/>
      <c r="G143" s="674"/>
      <c r="H143" s="674"/>
      <c r="I143" s="674"/>
      <c r="J143" s="674"/>
      <c r="K143" s="674"/>
      <c r="L143" s="674"/>
      <c r="M143" s="674"/>
      <c r="N143" s="674"/>
      <c r="O143" s="674"/>
      <c r="P143" s="674"/>
      <c r="Q143" s="674"/>
      <c r="R143" s="674"/>
      <c r="S143" s="674"/>
      <c r="T143" s="674"/>
      <c r="U143" s="674"/>
      <c r="V143" s="674"/>
      <c r="W143" s="674"/>
      <c r="X143" s="674"/>
      <c r="Y143" s="674"/>
      <c r="Z143" s="674"/>
      <c r="AA143" s="674"/>
      <c r="AB143" s="674"/>
      <c r="AC143" s="674"/>
      <c r="AD143" s="674"/>
      <c r="AE143" s="674"/>
      <c r="AF143" s="674"/>
      <c r="AG143" s="674"/>
      <c r="AH143" s="674"/>
      <c r="AI143" s="674"/>
      <c r="AJ143" s="674"/>
      <c r="AK143" s="674"/>
      <c r="AL143" s="674"/>
      <c r="AM143" s="674"/>
      <c r="AN143" s="674"/>
      <c r="AO143" s="674"/>
      <c r="AP143" s="674"/>
      <c r="AQ143" s="674"/>
    </row>
    <row r="144" spans="2:43">
      <c r="B144" s="818"/>
      <c r="C144" s="676" t="s">
        <v>277</v>
      </c>
      <c r="D144" s="672"/>
      <c r="E144" s="818"/>
      <c r="F144" s="818"/>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674"/>
      <c r="AH144" s="674"/>
      <c r="AI144" s="674"/>
      <c r="AJ144" s="674"/>
      <c r="AK144" s="674"/>
      <c r="AL144" s="674"/>
      <c r="AM144" s="674"/>
      <c r="AN144" s="674"/>
      <c r="AO144" s="674"/>
      <c r="AP144" s="674"/>
      <c r="AQ144" s="674"/>
    </row>
    <row r="145" spans="2:44" ht="30">
      <c r="B145" s="818"/>
      <c r="C145" s="685" t="s">
        <v>278</v>
      </c>
      <c r="D145" s="914" t="s">
        <v>1718</v>
      </c>
      <c r="E145" s="792" t="s">
        <v>1671</v>
      </c>
      <c r="F145" s="822">
        <v>45457</v>
      </c>
      <c r="G145" s="673"/>
      <c r="H145" s="673"/>
      <c r="I145" s="673"/>
      <c r="J145" s="673"/>
      <c r="K145" s="673"/>
      <c r="L145" s="673"/>
      <c r="M145" s="673"/>
      <c r="N145" s="674"/>
      <c r="O145" s="674"/>
      <c r="P145" s="674"/>
      <c r="Q145" s="674"/>
      <c r="R145" s="674"/>
      <c r="S145" s="674">
        <v>2600</v>
      </c>
      <c r="T145" s="674"/>
      <c r="U145" s="674"/>
      <c r="V145" s="674"/>
      <c r="W145" s="674"/>
      <c r="X145" s="674"/>
      <c r="Y145" s="674"/>
      <c r="Z145" s="674"/>
      <c r="AA145" s="674"/>
      <c r="AB145" s="863">
        <v>1</v>
      </c>
      <c r="AC145" s="674"/>
      <c r="AD145" s="674"/>
      <c r="AE145" s="674"/>
      <c r="AF145" s="674"/>
      <c r="AG145" s="674"/>
      <c r="AH145" s="674"/>
      <c r="AI145" s="674"/>
      <c r="AJ145" s="674"/>
      <c r="AK145" s="674">
        <v>0</v>
      </c>
      <c r="AL145" s="674"/>
      <c r="AM145" s="674"/>
      <c r="AN145" s="674"/>
      <c r="AO145" s="674"/>
      <c r="AP145" s="674"/>
      <c r="AQ145" s="674"/>
    </row>
    <row r="146" spans="2:44" ht="45">
      <c r="B146" s="818"/>
      <c r="C146" s="685"/>
      <c r="D146" s="791" t="s">
        <v>1721</v>
      </c>
      <c r="E146" s="792" t="s">
        <v>1675</v>
      </c>
      <c r="F146" s="673"/>
      <c r="G146" s="674"/>
      <c r="H146" s="674"/>
      <c r="I146" s="674"/>
      <c r="J146" s="674"/>
      <c r="K146" s="674"/>
      <c r="L146" s="674"/>
      <c r="M146" s="674"/>
      <c r="N146" s="674"/>
      <c r="O146" s="674"/>
      <c r="P146" s="674"/>
      <c r="Q146" s="674"/>
      <c r="R146" s="674"/>
      <c r="S146" s="674">
        <v>75</v>
      </c>
      <c r="T146" s="674"/>
      <c r="U146" s="674"/>
      <c r="V146" s="674"/>
      <c r="W146" s="674"/>
      <c r="X146" s="674"/>
      <c r="Y146" s="674"/>
      <c r="Z146" s="674"/>
      <c r="AA146" s="674"/>
      <c r="AB146" s="863">
        <v>1</v>
      </c>
      <c r="AC146" s="863"/>
      <c r="AD146" s="674"/>
      <c r="AE146" s="674"/>
      <c r="AF146" s="674"/>
      <c r="AG146" s="674"/>
      <c r="AH146" s="674"/>
      <c r="AI146" s="674"/>
      <c r="AJ146" s="674"/>
      <c r="AK146" s="674">
        <v>75</v>
      </c>
      <c r="AL146" s="674">
        <f t="shared" ref="AL146:AL183" si="3">AK146-S146</f>
        <v>0</v>
      </c>
      <c r="AM146" s="674"/>
      <c r="AN146" s="674"/>
      <c r="AO146" s="674"/>
      <c r="AP146" s="674"/>
      <c r="AQ146" s="674"/>
      <c r="AR146" s="673"/>
    </row>
    <row r="147" spans="2:44">
      <c r="B147" s="818"/>
      <c r="C147" s="685"/>
      <c r="D147" s="791"/>
      <c r="E147" s="792"/>
      <c r="F147" s="673"/>
      <c r="G147" s="674"/>
      <c r="H147" s="674"/>
      <c r="I147" s="674"/>
      <c r="J147" s="674"/>
      <c r="K147" s="674"/>
      <c r="L147" s="674"/>
      <c r="M147" s="674"/>
      <c r="N147" s="674"/>
      <c r="O147" s="674"/>
      <c r="P147" s="674"/>
      <c r="Q147" s="674"/>
      <c r="R147" s="674"/>
      <c r="S147" s="674"/>
      <c r="T147" s="674"/>
      <c r="U147" s="674"/>
      <c r="V147" s="674"/>
      <c r="W147" s="674"/>
      <c r="X147" s="674"/>
      <c r="Y147" s="674"/>
      <c r="Z147" s="674"/>
      <c r="AA147" s="674"/>
      <c r="AB147" s="863"/>
      <c r="AC147" s="863"/>
      <c r="AD147" s="674"/>
      <c r="AE147" s="674"/>
      <c r="AF147" s="674"/>
      <c r="AG147" s="674"/>
      <c r="AH147" s="674"/>
      <c r="AI147" s="674"/>
      <c r="AJ147" s="674"/>
      <c r="AK147" s="674"/>
      <c r="AL147" s="674"/>
      <c r="AM147" s="674"/>
      <c r="AN147" s="674"/>
      <c r="AO147" s="674"/>
      <c r="AP147" s="674"/>
      <c r="AQ147" s="674"/>
    </row>
    <row r="148" spans="2:44">
      <c r="B148" s="818"/>
      <c r="C148" s="685" t="s">
        <v>278</v>
      </c>
      <c r="D148" s="672"/>
      <c r="E148" s="818"/>
      <c r="F148" s="818"/>
      <c r="G148" s="674"/>
      <c r="H148" s="674"/>
      <c r="I148" s="674"/>
      <c r="J148" s="674"/>
      <c r="K148" s="674"/>
      <c r="L148" s="674"/>
      <c r="M148" s="674"/>
      <c r="N148" s="674"/>
      <c r="O148" s="674"/>
      <c r="P148" s="674"/>
      <c r="Q148" s="674"/>
      <c r="R148" s="674"/>
      <c r="S148" s="674"/>
      <c r="T148" s="674"/>
      <c r="U148" s="674"/>
      <c r="V148" s="674"/>
      <c r="W148" s="674"/>
      <c r="X148" s="674"/>
      <c r="Y148" s="674"/>
      <c r="Z148" s="674"/>
      <c r="AA148" s="674"/>
      <c r="AB148" s="674"/>
      <c r="AC148" s="674"/>
      <c r="AD148" s="674"/>
      <c r="AE148" s="674"/>
      <c r="AF148" s="674"/>
      <c r="AG148" s="674"/>
      <c r="AH148" s="674"/>
      <c r="AI148" s="674"/>
      <c r="AJ148" s="674"/>
      <c r="AK148" s="674"/>
      <c r="AL148" s="674">
        <f t="shared" si="3"/>
        <v>0</v>
      </c>
      <c r="AM148" s="674"/>
      <c r="AN148" s="674"/>
      <c r="AO148" s="674"/>
      <c r="AP148" s="674"/>
      <c r="AQ148" s="674"/>
    </row>
    <row r="149" spans="2:44" ht="28.5">
      <c r="B149" s="818"/>
      <c r="C149" s="685"/>
      <c r="D149" s="672" t="s">
        <v>1746</v>
      </c>
      <c r="E149" s="673"/>
      <c r="F149" s="673"/>
      <c r="G149" s="674"/>
      <c r="H149" s="674"/>
      <c r="I149" s="674"/>
      <c r="J149" s="674"/>
      <c r="K149" s="674"/>
      <c r="L149" s="674"/>
      <c r="M149" s="674"/>
      <c r="N149" s="674"/>
      <c r="O149" s="674"/>
      <c r="P149" s="674"/>
      <c r="Q149" s="674"/>
      <c r="R149" s="674"/>
      <c r="S149" s="674">
        <v>600</v>
      </c>
      <c r="T149" s="674"/>
      <c r="U149" s="674"/>
      <c r="V149" s="674"/>
      <c r="W149" s="674"/>
      <c r="X149" s="674"/>
      <c r="Y149" s="674"/>
      <c r="Z149" s="674"/>
      <c r="AA149" s="674"/>
      <c r="AB149" s="674">
        <v>100</v>
      </c>
      <c r="AC149" s="674"/>
      <c r="AD149" s="674"/>
      <c r="AE149" s="674"/>
      <c r="AF149" s="674"/>
      <c r="AG149" s="674"/>
      <c r="AH149" s="674"/>
      <c r="AI149" s="674"/>
      <c r="AJ149" s="674"/>
      <c r="AK149" s="674">
        <v>600</v>
      </c>
      <c r="AL149" s="674">
        <f t="shared" ref="AL149" si="4">AK149-S149</f>
        <v>0</v>
      </c>
      <c r="AM149" s="674"/>
      <c r="AN149" s="674"/>
      <c r="AO149" s="674"/>
      <c r="AP149" s="674"/>
      <c r="AQ149" s="674"/>
    </row>
    <row r="150" spans="2:44">
      <c r="B150" s="818"/>
      <c r="C150" s="676" t="s">
        <v>279</v>
      </c>
      <c r="D150" s="672"/>
      <c r="E150" s="818"/>
      <c r="F150" s="818"/>
      <c r="G150" s="674"/>
      <c r="H150" s="674"/>
      <c r="I150" s="674"/>
      <c r="J150" s="674"/>
      <c r="K150" s="674"/>
      <c r="L150" s="674"/>
      <c r="M150" s="674"/>
      <c r="N150" s="674"/>
      <c r="O150" s="674"/>
      <c r="P150" s="674"/>
      <c r="Q150" s="674"/>
      <c r="R150" s="674"/>
      <c r="S150" s="674"/>
      <c r="T150" s="674"/>
      <c r="U150" s="674"/>
      <c r="V150" s="674"/>
      <c r="W150" s="674"/>
      <c r="X150" s="674"/>
      <c r="Y150" s="674"/>
      <c r="Z150" s="674"/>
      <c r="AA150" s="674"/>
      <c r="AB150" s="674"/>
      <c r="AC150" s="674"/>
      <c r="AD150" s="674"/>
      <c r="AE150" s="674"/>
      <c r="AF150" s="674"/>
      <c r="AG150" s="674"/>
      <c r="AH150" s="674"/>
      <c r="AI150" s="674"/>
      <c r="AJ150" s="674"/>
      <c r="AK150" s="674"/>
      <c r="AL150" s="674">
        <f t="shared" si="3"/>
        <v>0</v>
      </c>
      <c r="AM150" s="674"/>
      <c r="AN150" s="674"/>
      <c r="AO150" s="674"/>
      <c r="AP150" s="674"/>
      <c r="AQ150" s="674"/>
    </row>
    <row r="151" spans="2:44">
      <c r="B151" s="818"/>
      <c r="C151" s="676"/>
      <c r="D151" s="672" t="str">
        <f>D112</f>
        <v>Development of new FBSM software</v>
      </c>
      <c r="E151" s="818"/>
      <c r="F151" s="818"/>
      <c r="G151" s="674"/>
      <c r="H151" s="674"/>
      <c r="I151" s="674"/>
      <c r="J151" s="674"/>
      <c r="K151" s="674"/>
      <c r="L151" s="674"/>
      <c r="M151" s="674"/>
      <c r="N151" s="674"/>
      <c r="O151" s="674"/>
      <c r="P151" s="674"/>
      <c r="Q151" s="674"/>
      <c r="R151" s="674"/>
      <c r="S151" s="674">
        <v>116</v>
      </c>
      <c r="T151" s="674"/>
      <c r="U151" s="674"/>
      <c r="V151" s="674"/>
      <c r="W151" s="674"/>
      <c r="X151" s="674"/>
      <c r="Y151" s="674"/>
      <c r="Z151" s="674"/>
      <c r="AA151" s="674"/>
      <c r="AB151" s="674"/>
      <c r="AC151" s="674"/>
      <c r="AD151" s="674"/>
      <c r="AE151" s="674"/>
      <c r="AF151" s="674"/>
      <c r="AG151" s="674"/>
      <c r="AH151" s="674"/>
      <c r="AI151" s="674"/>
      <c r="AJ151" s="674"/>
      <c r="AK151" s="674"/>
      <c r="AL151" s="674"/>
      <c r="AM151" s="674"/>
      <c r="AN151" s="674"/>
      <c r="AO151" s="674"/>
      <c r="AP151" s="674"/>
      <c r="AQ151" s="674"/>
    </row>
    <row r="152" spans="2:44" s="709" customFormat="1">
      <c r="B152" s="876"/>
      <c r="C152" s="864" t="s">
        <v>278</v>
      </c>
      <c r="D152" s="915" t="s">
        <v>1724</v>
      </c>
      <c r="E152" s="876"/>
      <c r="F152" s="876"/>
      <c r="G152" s="875"/>
      <c r="H152" s="875"/>
      <c r="I152" s="875"/>
      <c r="J152" s="875"/>
      <c r="K152" s="875"/>
      <c r="L152" s="875"/>
      <c r="M152" s="875"/>
      <c r="N152" s="875"/>
      <c r="O152" s="875"/>
      <c r="P152" s="875"/>
      <c r="Q152" s="875"/>
      <c r="R152" s="875"/>
      <c r="S152" s="875">
        <v>300</v>
      </c>
      <c r="T152" s="875"/>
      <c r="U152" s="875"/>
      <c r="V152" s="875"/>
      <c r="W152" s="875"/>
      <c r="X152" s="875"/>
      <c r="Y152" s="875"/>
      <c r="Z152" s="875"/>
      <c r="AA152" s="875"/>
      <c r="AB152" s="877">
        <v>0.33329999999999999</v>
      </c>
      <c r="AC152" s="877"/>
      <c r="AD152" s="875"/>
      <c r="AE152" s="875"/>
      <c r="AF152" s="875"/>
      <c r="AG152" s="875"/>
      <c r="AH152" s="875"/>
      <c r="AI152" s="875"/>
      <c r="AJ152" s="875"/>
      <c r="AK152" s="875">
        <v>300</v>
      </c>
      <c r="AL152" s="674">
        <f t="shared" si="3"/>
        <v>0</v>
      </c>
      <c r="AM152" s="875"/>
      <c r="AN152" s="875"/>
      <c r="AO152" s="875"/>
      <c r="AP152" s="875"/>
      <c r="AQ152" s="875"/>
    </row>
    <row r="153" spans="2:44" ht="120">
      <c r="B153" s="818"/>
      <c r="C153" s="685"/>
      <c r="D153" s="672" t="s">
        <v>1726</v>
      </c>
      <c r="E153" s="917" t="s">
        <v>1859</v>
      </c>
      <c r="F153" s="673"/>
      <c r="G153" s="674"/>
      <c r="H153" s="674"/>
      <c r="I153" s="674"/>
      <c r="J153" s="674"/>
      <c r="K153" s="674"/>
      <c r="L153" s="674"/>
      <c r="M153" s="674"/>
      <c r="N153" s="674"/>
      <c r="O153" s="674"/>
      <c r="P153" s="674"/>
      <c r="Q153" s="674"/>
      <c r="R153" s="674"/>
      <c r="S153" s="674">
        <v>200</v>
      </c>
      <c r="T153" s="674"/>
      <c r="U153" s="674"/>
      <c r="V153" s="674"/>
      <c r="W153" s="674"/>
      <c r="X153" s="674"/>
      <c r="Y153" s="674"/>
      <c r="Z153" s="674"/>
      <c r="AA153" s="674"/>
      <c r="AB153" s="863">
        <v>1</v>
      </c>
      <c r="AC153" s="863"/>
      <c r="AD153" s="674"/>
      <c r="AE153" s="674"/>
      <c r="AF153" s="674"/>
      <c r="AG153" s="674"/>
      <c r="AH153" s="674"/>
      <c r="AI153" s="674"/>
      <c r="AJ153" s="674"/>
      <c r="AK153" s="674">
        <v>200</v>
      </c>
      <c r="AL153" s="674">
        <f t="shared" si="3"/>
        <v>0</v>
      </c>
      <c r="AM153" s="674"/>
      <c r="AN153" s="674"/>
      <c r="AO153" s="674"/>
      <c r="AP153" s="674"/>
      <c r="AQ153" s="674"/>
      <c r="AR153" s="673"/>
    </row>
    <row r="154" spans="2:44">
      <c r="B154" s="818"/>
      <c r="C154" s="685"/>
      <c r="D154" s="672"/>
      <c r="E154" s="917"/>
      <c r="F154" s="673"/>
      <c r="G154" s="674"/>
      <c r="H154" s="674"/>
      <c r="I154" s="674"/>
      <c r="J154" s="674"/>
      <c r="K154" s="674"/>
      <c r="L154" s="674"/>
      <c r="M154" s="674"/>
      <c r="N154" s="674"/>
      <c r="O154" s="674"/>
      <c r="P154" s="674"/>
      <c r="Q154" s="674"/>
      <c r="R154" s="674"/>
      <c r="S154" s="674"/>
      <c r="T154" s="674"/>
      <c r="U154" s="674"/>
      <c r="V154" s="674"/>
      <c r="W154" s="674"/>
      <c r="X154" s="674"/>
      <c r="Y154" s="674"/>
      <c r="Z154" s="674"/>
      <c r="AA154" s="674"/>
      <c r="AB154" s="863"/>
      <c r="AC154" s="863"/>
      <c r="AD154" s="674"/>
      <c r="AE154" s="674"/>
      <c r="AF154" s="674"/>
      <c r="AG154" s="674"/>
      <c r="AH154" s="674"/>
      <c r="AI154" s="674"/>
      <c r="AJ154" s="674"/>
      <c r="AK154" s="674"/>
      <c r="AL154" s="674"/>
      <c r="AM154" s="674"/>
      <c r="AN154" s="674"/>
      <c r="AO154" s="674"/>
      <c r="AP154" s="674"/>
      <c r="AQ154" s="674"/>
    </row>
    <row r="155" spans="2:44" ht="28.5">
      <c r="B155" s="818"/>
      <c r="C155" s="685"/>
      <c r="D155" s="672" t="s">
        <v>1860</v>
      </c>
      <c r="E155" s="818"/>
      <c r="F155" s="818"/>
      <c r="G155" s="674"/>
      <c r="H155" s="674"/>
      <c r="I155" s="674"/>
      <c r="J155" s="674"/>
      <c r="K155" s="674"/>
      <c r="L155" s="674"/>
      <c r="M155" s="674"/>
      <c r="N155" s="674"/>
      <c r="O155" s="674"/>
      <c r="P155" s="674"/>
      <c r="Q155" s="674"/>
      <c r="R155" s="674"/>
      <c r="S155" s="674">
        <v>500</v>
      </c>
      <c r="T155" s="674"/>
      <c r="U155" s="674"/>
      <c r="V155" s="674"/>
      <c r="W155" s="674"/>
      <c r="X155" s="674"/>
      <c r="Y155" s="674"/>
      <c r="Z155" s="674"/>
      <c r="AA155" s="674"/>
      <c r="AB155" s="863">
        <v>1</v>
      </c>
      <c r="AC155" s="863"/>
      <c r="AD155" s="863"/>
      <c r="AE155" s="863"/>
      <c r="AF155" s="863"/>
      <c r="AG155" s="674"/>
      <c r="AH155" s="674"/>
      <c r="AI155" s="674"/>
      <c r="AJ155" s="674"/>
      <c r="AK155" s="674">
        <v>250</v>
      </c>
      <c r="AL155" s="674"/>
      <c r="AM155" s="674"/>
      <c r="AN155" s="674"/>
      <c r="AO155" s="674"/>
      <c r="AP155" s="674"/>
      <c r="AQ155" s="674"/>
    </row>
    <row r="156" spans="2:44" ht="28.5">
      <c r="B156" s="818"/>
      <c r="C156" s="685"/>
      <c r="D156" s="672" t="s">
        <v>1730</v>
      </c>
      <c r="E156" s="673"/>
      <c r="F156" s="673"/>
      <c r="G156" s="674"/>
      <c r="H156" s="674"/>
      <c r="I156" s="674"/>
      <c r="J156" s="674"/>
      <c r="K156" s="674"/>
      <c r="L156" s="674"/>
      <c r="M156" s="674"/>
      <c r="N156" s="674"/>
      <c r="O156" s="674"/>
      <c r="P156" s="674"/>
      <c r="Q156" s="674"/>
      <c r="R156" s="674"/>
      <c r="S156" s="674">
        <v>600</v>
      </c>
      <c r="T156" s="674"/>
      <c r="U156" s="674"/>
      <c r="V156" s="674"/>
      <c r="W156" s="674"/>
      <c r="X156" s="674"/>
      <c r="Y156" s="674"/>
      <c r="Z156" s="674"/>
      <c r="AA156" s="674"/>
      <c r="AB156" s="674">
        <v>100</v>
      </c>
      <c r="AC156" s="674"/>
      <c r="AD156" s="674"/>
      <c r="AE156" s="674"/>
      <c r="AF156" s="674"/>
      <c r="AG156" s="674"/>
      <c r="AH156" s="674"/>
      <c r="AI156" s="674"/>
      <c r="AJ156" s="674"/>
      <c r="AK156" s="674">
        <v>600</v>
      </c>
      <c r="AL156" s="674">
        <f t="shared" si="3"/>
        <v>0</v>
      </c>
      <c r="AM156" s="674"/>
      <c r="AN156" s="674"/>
      <c r="AO156" s="674"/>
      <c r="AP156" s="674"/>
      <c r="AQ156" s="674"/>
    </row>
    <row r="157" spans="2:44" ht="42.75">
      <c r="B157" s="818"/>
      <c r="C157" s="685"/>
      <c r="D157" s="672" t="s">
        <v>1891</v>
      </c>
      <c r="E157" s="673"/>
      <c r="F157" s="673"/>
      <c r="G157" s="674"/>
      <c r="H157" s="674"/>
      <c r="I157" s="674"/>
      <c r="J157" s="674"/>
      <c r="K157" s="674"/>
      <c r="L157" s="674"/>
      <c r="M157" s="674"/>
      <c r="N157" s="674"/>
      <c r="O157" s="674"/>
      <c r="P157" s="674"/>
      <c r="Q157" s="674"/>
      <c r="R157" s="674"/>
      <c r="S157" s="674">
        <v>400</v>
      </c>
      <c r="T157" s="674"/>
      <c r="U157" s="674"/>
      <c r="V157" s="674"/>
      <c r="W157" s="674"/>
      <c r="X157" s="674"/>
      <c r="Y157" s="674"/>
      <c r="Z157" s="674"/>
      <c r="AA157" s="674"/>
      <c r="AB157" s="674"/>
      <c r="AC157" s="674"/>
      <c r="AD157" s="674"/>
      <c r="AE157" s="674"/>
      <c r="AF157" s="674"/>
      <c r="AG157" s="674"/>
      <c r="AH157" s="674"/>
      <c r="AI157" s="674"/>
      <c r="AJ157" s="674"/>
      <c r="AK157" s="674">
        <v>400</v>
      </c>
      <c r="AL157" s="674"/>
      <c r="AM157" s="674"/>
      <c r="AN157" s="674"/>
      <c r="AO157" s="674"/>
      <c r="AP157" s="674"/>
      <c r="AQ157" s="674"/>
    </row>
    <row r="158" spans="2:44" ht="42.75">
      <c r="B158" s="818"/>
      <c r="C158" s="685"/>
      <c r="D158" s="672" t="s">
        <v>1892</v>
      </c>
      <c r="E158" s="673"/>
      <c r="F158" s="673"/>
      <c r="G158" s="674"/>
      <c r="H158" s="674"/>
      <c r="I158" s="674"/>
      <c r="J158" s="674"/>
      <c r="K158" s="674"/>
      <c r="L158" s="674"/>
      <c r="M158" s="674"/>
      <c r="N158" s="674"/>
      <c r="O158" s="674"/>
      <c r="P158" s="674"/>
      <c r="Q158" s="674"/>
      <c r="R158" s="674"/>
      <c r="S158" s="674">
        <v>500</v>
      </c>
      <c r="T158" s="674"/>
      <c r="U158" s="674"/>
      <c r="V158" s="674"/>
      <c r="W158" s="674"/>
      <c r="X158" s="674"/>
      <c r="Y158" s="674"/>
      <c r="Z158" s="674"/>
      <c r="AA158" s="674"/>
      <c r="AB158" s="674"/>
      <c r="AC158" s="674"/>
      <c r="AD158" s="674"/>
      <c r="AE158" s="674"/>
      <c r="AF158" s="674"/>
      <c r="AG158" s="674"/>
      <c r="AH158" s="674"/>
      <c r="AI158" s="674"/>
      <c r="AJ158" s="674"/>
      <c r="AK158" s="674">
        <v>500</v>
      </c>
      <c r="AL158" s="674"/>
      <c r="AM158" s="674"/>
      <c r="AN158" s="674"/>
      <c r="AO158" s="674"/>
      <c r="AP158" s="674"/>
      <c r="AQ158" s="674"/>
    </row>
    <row r="159" spans="2:44">
      <c r="B159" s="818"/>
      <c r="C159" s="685"/>
      <c r="D159" s="672" t="s">
        <v>1732</v>
      </c>
      <c r="E159" s="673"/>
      <c r="F159" s="673"/>
      <c r="G159" s="674"/>
      <c r="H159" s="674"/>
      <c r="I159" s="674"/>
      <c r="J159" s="674"/>
      <c r="K159" s="674"/>
      <c r="L159" s="674"/>
      <c r="M159" s="674"/>
      <c r="N159" s="674"/>
      <c r="O159" s="674"/>
      <c r="P159" s="674"/>
      <c r="Q159" s="674"/>
      <c r="R159" s="674"/>
      <c r="S159" s="674">
        <v>500</v>
      </c>
      <c r="T159" s="674"/>
      <c r="U159" s="674"/>
      <c r="V159" s="674"/>
      <c r="W159" s="674"/>
      <c r="X159" s="674"/>
      <c r="Y159" s="674"/>
      <c r="Z159" s="674"/>
      <c r="AA159" s="674"/>
      <c r="AB159" s="674">
        <v>100</v>
      </c>
      <c r="AC159" s="674"/>
      <c r="AD159" s="674"/>
      <c r="AE159" s="674"/>
      <c r="AF159" s="674"/>
      <c r="AG159" s="674"/>
      <c r="AH159" s="674"/>
      <c r="AI159" s="674"/>
      <c r="AJ159" s="674"/>
      <c r="AK159" s="674">
        <v>250</v>
      </c>
      <c r="AL159" s="674"/>
      <c r="AM159" s="674"/>
      <c r="AN159" s="674"/>
      <c r="AO159" s="674"/>
      <c r="AP159" s="674"/>
      <c r="AQ159" s="674"/>
    </row>
    <row r="160" spans="2:44">
      <c r="B160" s="818"/>
      <c r="C160" s="685"/>
      <c r="D160" s="672" t="s">
        <v>1733</v>
      </c>
      <c r="E160" s="818"/>
      <c r="F160" s="818"/>
      <c r="G160" s="674"/>
      <c r="H160" s="674"/>
      <c r="I160" s="674"/>
      <c r="J160" s="674"/>
      <c r="K160" s="674"/>
      <c r="L160" s="674"/>
      <c r="M160" s="674"/>
      <c r="N160" s="674"/>
      <c r="O160" s="674"/>
      <c r="P160" s="674"/>
      <c r="Q160" s="674"/>
      <c r="R160" s="674"/>
      <c r="S160" s="674">
        <v>1500</v>
      </c>
      <c r="T160" s="674"/>
      <c r="U160" s="674"/>
      <c r="V160" s="674"/>
      <c r="W160" s="674"/>
      <c r="X160" s="674"/>
      <c r="Y160" s="674"/>
      <c r="Z160" s="674"/>
      <c r="AA160" s="674"/>
      <c r="AB160" s="863">
        <v>1</v>
      </c>
      <c r="AC160" s="674"/>
      <c r="AD160" s="674"/>
      <c r="AE160" s="674"/>
      <c r="AF160" s="674"/>
      <c r="AG160" s="674"/>
      <c r="AH160" s="674"/>
      <c r="AI160" s="674"/>
      <c r="AJ160" s="674"/>
      <c r="AK160" s="674">
        <v>1500</v>
      </c>
      <c r="AL160" s="674">
        <f t="shared" si="3"/>
        <v>0</v>
      </c>
      <c r="AM160" s="674"/>
      <c r="AN160" s="674"/>
      <c r="AO160" s="674"/>
      <c r="AP160" s="674"/>
      <c r="AQ160" s="674"/>
    </row>
    <row r="161" spans="2:43" ht="28.5">
      <c r="B161" s="818"/>
      <c r="C161" s="685"/>
      <c r="D161" s="672" t="s">
        <v>1734</v>
      </c>
      <c r="E161" s="818"/>
      <c r="F161" s="818"/>
      <c r="G161" s="674"/>
      <c r="H161" s="674"/>
      <c r="I161" s="674"/>
      <c r="J161" s="674"/>
      <c r="K161" s="674"/>
      <c r="L161" s="674"/>
      <c r="M161" s="674"/>
      <c r="N161" s="674"/>
      <c r="O161" s="674"/>
      <c r="P161" s="674"/>
      <c r="Q161" s="674"/>
      <c r="R161" s="674"/>
      <c r="S161" s="674">
        <v>1000</v>
      </c>
      <c r="T161" s="674"/>
      <c r="U161" s="674"/>
      <c r="V161" s="674"/>
      <c r="W161" s="674"/>
      <c r="X161" s="674"/>
      <c r="Y161" s="674"/>
      <c r="Z161" s="674"/>
      <c r="AA161" s="674"/>
      <c r="AB161" s="863">
        <v>0.66</v>
      </c>
      <c r="AC161" s="674"/>
      <c r="AD161" s="674"/>
      <c r="AE161" s="674"/>
      <c r="AF161" s="674"/>
      <c r="AG161" s="674"/>
      <c r="AH161" s="674"/>
      <c r="AI161" s="674"/>
      <c r="AJ161" s="674"/>
      <c r="AK161" s="674">
        <v>1000</v>
      </c>
      <c r="AL161" s="674">
        <f t="shared" si="3"/>
        <v>0</v>
      </c>
      <c r="AM161" s="674"/>
      <c r="AN161" s="674"/>
      <c r="AO161" s="674"/>
      <c r="AP161" s="674"/>
      <c r="AQ161" s="674"/>
    </row>
    <row r="162" spans="2:43" ht="45">
      <c r="B162" s="818"/>
      <c r="C162" s="685"/>
      <c r="D162" s="672" t="s">
        <v>1861</v>
      </c>
      <c r="E162" s="792" t="s">
        <v>1715</v>
      </c>
      <c r="F162" s="818"/>
      <c r="G162" s="674"/>
      <c r="H162" s="674"/>
      <c r="I162" s="674"/>
      <c r="J162" s="674"/>
      <c r="K162" s="674"/>
      <c r="L162" s="674"/>
      <c r="M162" s="674"/>
      <c r="N162" s="674"/>
      <c r="O162" s="674"/>
      <c r="P162" s="674"/>
      <c r="Q162" s="674"/>
      <c r="R162" s="674"/>
      <c r="S162" s="674">
        <v>100</v>
      </c>
      <c r="T162" s="674"/>
      <c r="U162" s="674"/>
      <c r="V162" s="674"/>
      <c r="W162" s="674"/>
      <c r="X162" s="674"/>
      <c r="Y162" s="674"/>
      <c r="Z162" s="674"/>
      <c r="AA162" s="674"/>
      <c r="AB162" s="863">
        <v>1</v>
      </c>
      <c r="AC162" s="674"/>
      <c r="AD162" s="674"/>
      <c r="AE162" s="674"/>
      <c r="AF162" s="674"/>
      <c r="AG162" s="674"/>
      <c r="AH162" s="674"/>
      <c r="AI162" s="674"/>
      <c r="AJ162" s="674"/>
      <c r="AK162" s="674">
        <v>100</v>
      </c>
      <c r="AL162" s="674">
        <f t="shared" si="3"/>
        <v>0</v>
      </c>
      <c r="AM162" s="674"/>
      <c r="AN162" s="674"/>
      <c r="AO162" s="674"/>
      <c r="AP162" s="674"/>
      <c r="AQ162" s="674"/>
    </row>
    <row r="163" spans="2:43" ht="60">
      <c r="B163" s="818"/>
      <c r="C163" s="685"/>
      <c r="D163" s="672" t="s">
        <v>1862</v>
      </c>
      <c r="E163" s="792" t="s">
        <v>1737</v>
      </c>
      <c r="F163" s="818"/>
      <c r="G163" s="674"/>
      <c r="H163" s="674"/>
      <c r="I163" s="674"/>
      <c r="J163" s="674"/>
      <c r="K163" s="674"/>
      <c r="L163" s="674"/>
      <c r="M163" s="674"/>
      <c r="N163" s="674"/>
      <c r="O163" s="674"/>
      <c r="P163" s="674"/>
      <c r="Q163" s="674"/>
      <c r="R163" s="674"/>
      <c r="S163" s="674">
        <v>100</v>
      </c>
      <c r="T163" s="674"/>
      <c r="U163" s="674"/>
      <c r="V163" s="674"/>
      <c r="W163" s="674"/>
      <c r="X163" s="674"/>
      <c r="Y163" s="674"/>
      <c r="Z163" s="674"/>
      <c r="AA163" s="674"/>
      <c r="AB163" s="863">
        <v>1</v>
      </c>
      <c r="AC163" s="674"/>
      <c r="AD163" s="674"/>
      <c r="AE163" s="674"/>
      <c r="AF163" s="674"/>
      <c r="AG163" s="674"/>
      <c r="AH163" s="674"/>
      <c r="AI163" s="674"/>
      <c r="AJ163" s="674"/>
      <c r="AK163" s="674">
        <v>100</v>
      </c>
      <c r="AL163" s="674">
        <f t="shared" si="3"/>
        <v>0</v>
      </c>
      <c r="AM163" s="674"/>
      <c r="AN163" s="674"/>
      <c r="AO163" s="674"/>
      <c r="AP163" s="674"/>
      <c r="AQ163" s="674"/>
    </row>
    <row r="164" spans="2:43">
      <c r="B164" s="818"/>
      <c r="C164" s="685"/>
      <c r="D164" s="672" t="s">
        <v>1738</v>
      </c>
      <c r="E164" s="818"/>
      <c r="F164" s="818"/>
      <c r="G164" s="674"/>
      <c r="H164" s="674"/>
      <c r="I164" s="674"/>
      <c r="J164" s="674"/>
      <c r="K164" s="674"/>
      <c r="L164" s="674"/>
      <c r="M164" s="674"/>
      <c r="N164" s="674"/>
      <c r="O164" s="674"/>
      <c r="P164" s="674"/>
      <c r="Q164" s="674"/>
      <c r="R164" s="674"/>
      <c r="S164" s="674">
        <v>0</v>
      </c>
      <c r="T164" s="674"/>
      <c r="U164" s="674"/>
      <c r="V164" s="674"/>
      <c r="W164" s="674"/>
      <c r="X164" s="674"/>
      <c r="Y164" s="674"/>
      <c r="Z164" s="674"/>
      <c r="AA164" s="674"/>
      <c r="AB164" s="916">
        <v>0</v>
      </c>
      <c r="AC164" s="674"/>
      <c r="AD164" s="674"/>
      <c r="AE164" s="674"/>
      <c r="AF164" s="674"/>
      <c r="AG164" s="674"/>
      <c r="AH164" s="674"/>
      <c r="AI164" s="674"/>
      <c r="AJ164" s="674"/>
      <c r="AK164" s="674">
        <v>0</v>
      </c>
      <c r="AL164" s="674">
        <f t="shared" si="3"/>
        <v>0</v>
      </c>
      <c r="AM164" s="674"/>
      <c r="AN164" s="674"/>
      <c r="AO164" s="674"/>
      <c r="AP164" s="674"/>
      <c r="AQ164" s="674"/>
    </row>
    <row r="165" spans="2:43" ht="28.5">
      <c r="B165" s="818"/>
      <c r="C165" s="685" t="s">
        <v>278</v>
      </c>
      <c r="D165" s="672" t="s">
        <v>1863</v>
      </c>
      <c r="E165" s="818"/>
      <c r="F165" s="818"/>
      <c r="G165" s="674"/>
      <c r="H165" s="674"/>
      <c r="I165" s="674"/>
      <c r="J165" s="674"/>
      <c r="K165" s="674"/>
      <c r="L165" s="674"/>
      <c r="M165" s="674"/>
      <c r="N165" s="674"/>
      <c r="O165" s="674"/>
      <c r="P165" s="674"/>
      <c r="Q165" s="674"/>
      <c r="R165" s="674"/>
      <c r="S165" s="674">
        <v>100</v>
      </c>
      <c r="T165" s="674"/>
      <c r="U165" s="674"/>
      <c r="V165" s="674"/>
      <c r="W165" s="674"/>
      <c r="X165" s="674"/>
      <c r="Y165" s="674"/>
      <c r="Z165" s="674"/>
      <c r="AA165" s="674"/>
      <c r="AB165" s="674">
        <v>100</v>
      </c>
      <c r="AC165" s="674"/>
      <c r="AD165" s="674"/>
      <c r="AE165" s="674"/>
      <c r="AF165" s="674"/>
      <c r="AG165" s="674"/>
      <c r="AH165" s="674"/>
      <c r="AI165" s="674"/>
      <c r="AJ165" s="674"/>
      <c r="AK165" s="674">
        <v>100</v>
      </c>
      <c r="AL165" s="674">
        <f t="shared" si="3"/>
        <v>0</v>
      </c>
      <c r="AM165" s="674"/>
      <c r="AN165" s="674"/>
      <c r="AO165" s="674"/>
      <c r="AP165" s="674"/>
      <c r="AQ165" s="674"/>
    </row>
    <row r="166" spans="2:43">
      <c r="B166" s="818"/>
      <c r="C166" s="685"/>
      <c r="D166" s="672" t="s">
        <v>1864</v>
      </c>
      <c r="E166" s="818"/>
      <c r="F166" s="818"/>
      <c r="G166" s="674"/>
      <c r="H166" s="674"/>
      <c r="I166" s="674"/>
      <c r="J166" s="674"/>
      <c r="K166" s="674"/>
      <c r="L166" s="674"/>
      <c r="M166" s="674"/>
      <c r="N166" s="674"/>
      <c r="O166" s="674"/>
      <c r="P166" s="674"/>
      <c r="Q166" s="674"/>
      <c r="R166" s="674"/>
      <c r="S166" s="674">
        <v>500</v>
      </c>
      <c r="T166" s="674"/>
      <c r="U166" s="674"/>
      <c r="V166" s="674"/>
      <c r="W166" s="674"/>
      <c r="X166" s="674"/>
      <c r="Y166" s="674"/>
      <c r="Z166" s="674"/>
      <c r="AA166" s="674"/>
      <c r="AB166" s="674">
        <v>100</v>
      </c>
      <c r="AC166" s="674"/>
      <c r="AD166" s="674"/>
      <c r="AE166" s="674"/>
      <c r="AF166" s="674"/>
      <c r="AG166" s="674"/>
      <c r="AH166" s="674"/>
      <c r="AI166" s="674"/>
      <c r="AJ166" s="674"/>
      <c r="AK166" s="674">
        <v>500</v>
      </c>
      <c r="AL166" s="674">
        <f t="shared" si="3"/>
        <v>0</v>
      </c>
      <c r="AM166" s="674"/>
      <c r="AN166" s="674"/>
      <c r="AO166" s="674"/>
      <c r="AP166" s="674"/>
      <c r="AQ166" s="674"/>
    </row>
    <row r="167" spans="2:43" ht="28.5">
      <c r="B167" s="818"/>
      <c r="C167" s="685"/>
      <c r="D167" s="672" t="s">
        <v>1865</v>
      </c>
      <c r="E167" s="818"/>
      <c r="F167" s="818"/>
      <c r="G167" s="674"/>
      <c r="H167" s="674"/>
      <c r="I167" s="674"/>
      <c r="J167" s="674"/>
      <c r="K167" s="674"/>
      <c r="L167" s="674"/>
      <c r="M167" s="674"/>
      <c r="N167" s="674"/>
      <c r="O167" s="674"/>
      <c r="P167" s="674"/>
      <c r="Q167" s="674"/>
      <c r="R167" s="674"/>
      <c r="S167" s="674">
        <v>300</v>
      </c>
      <c r="T167" s="674"/>
      <c r="U167" s="674"/>
      <c r="V167" s="674"/>
      <c r="W167" s="674"/>
      <c r="X167" s="674"/>
      <c r="Y167" s="674"/>
      <c r="Z167" s="674"/>
      <c r="AA167" s="674"/>
      <c r="AB167" s="674">
        <v>100</v>
      </c>
      <c r="AC167" s="674"/>
      <c r="AD167" s="674"/>
      <c r="AE167" s="674"/>
      <c r="AF167" s="674"/>
      <c r="AG167" s="674"/>
      <c r="AH167" s="674"/>
      <c r="AI167" s="674"/>
      <c r="AJ167" s="674"/>
      <c r="AK167" s="674">
        <v>300</v>
      </c>
      <c r="AL167" s="674">
        <f t="shared" si="3"/>
        <v>0</v>
      </c>
      <c r="AM167" s="674"/>
      <c r="AN167" s="674"/>
      <c r="AO167" s="674"/>
      <c r="AP167" s="674"/>
      <c r="AQ167" s="674"/>
    </row>
    <row r="168" spans="2:43" ht="30">
      <c r="B168" s="818"/>
      <c r="C168" s="685"/>
      <c r="D168" s="918" t="s">
        <v>1866</v>
      </c>
      <c r="E168" s="673"/>
      <c r="F168" s="673"/>
      <c r="G168" s="674"/>
      <c r="H168" s="674"/>
      <c r="I168" s="674"/>
      <c r="J168" s="674"/>
      <c r="K168" s="674"/>
      <c r="L168" s="674"/>
      <c r="M168" s="674"/>
      <c r="N168" s="674"/>
      <c r="O168" s="674"/>
      <c r="P168" s="674"/>
      <c r="Q168" s="674"/>
      <c r="R168" s="674"/>
      <c r="S168" s="674">
        <v>120</v>
      </c>
      <c r="T168" s="674"/>
      <c r="U168" s="674"/>
      <c r="V168" s="674"/>
      <c r="W168" s="674"/>
      <c r="X168" s="674"/>
      <c r="Y168" s="674"/>
      <c r="Z168" s="674"/>
      <c r="AA168" s="674"/>
      <c r="AB168" s="674">
        <v>100</v>
      </c>
      <c r="AC168" s="674"/>
      <c r="AD168" s="674"/>
      <c r="AE168" s="674"/>
      <c r="AF168" s="674"/>
      <c r="AG168" s="674"/>
      <c r="AH168" s="674"/>
      <c r="AI168" s="674"/>
      <c r="AJ168" s="674"/>
      <c r="AK168" s="674">
        <v>120</v>
      </c>
      <c r="AL168" s="674">
        <f t="shared" ref="AL168:AL169" si="5">AK168-S168</f>
        <v>0</v>
      </c>
      <c r="AM168" s="674"/>
      <c r="AN168" s="674"/>
      <c r="AO168" s="674"/>
      <c r="AP168" s="674"/>
      <c r="AQ168" s="674"/>
    </row>
    <row r="169" spans="2:43" ht="42.75">
      <c r="B169" s="818"/>
      <c r="C169" s="685"/>
      <c r="D169" s="672" t="s">
        <v>1753</v>
      </c>
      <c r="E169" s="818"/>
      <c r="F169" s="818"/>
      <c r="G169" s="674"/>
      <c r="H169" s="674"/>
      <c r="I169" s="674"/>
      <c r="J169" s="674"/>
      <c r="K169" s="674"/>
      <c r="L169" s="674"/>
      <c r="M169" s="674"/>
      <c r="N169" s="674"/>
      <c r="O169" s="674"/>
      <c r="P169" s="674"/>
      <c r="Q169" s="674"/>
      <c r="R169" s="674"/>
      <c r="S169" s="674">
        <v>230</v>
      </c>
      <c r="T169" s="674"/>
      <c r="U169" s="674"/>
      <c r="V169" s="674"/>
      <c r="W169" s="674"/>
      <c r="X169" s="674"/>
      <c r="Y169" s="674"/>
      <c r="Z169" s="674"/>
      <c r="AA169" s="674"/>
      <c r="AB169" s="863">
        <v>0.5</v>
      </c>
      <c r="AC169" s="863"/>
      <c r="AD169" s="674"/>
      <c r="AE169" s="674"/>
      <c r="AF169" s="674"/>
      <c r="AG169" s="674"/>
      <c r="AH169" s="674"/>
      <c r="AI169" s="674"/>
      <c r="AJ169" s="674"/>
      <c r="AK169" s="674">
        <v>230</v>
      </c>
      <c r="AL169" s="674">
        <f t="shared" si="5"/>
        <v>0</v>
      </c>
      <c r="AM169" s="674"/>
      <c r="AN169" s="674"/>
      <c r="AO169" s="674"/>
      <c r="AP169" s="674"/>
      <c r="AQ169" s="674"/>
    </row>
    <row r="170" spans="2:43">
      <c r="B170" s="818"/>
      <c r="C170" s="704" t="s">
        <v>280</v>
      </c>
      <c r="D170" s="672"/>
      <c r="E170" s="818"/>
      <c r="F170" s="818"/>
      <c r="G170" s="674"/>
      <c r="H170" s="674"/>
      <c r="I170" s="674"/>
      <c r="J170" s="674"/>
      <c r="K170" s="674"/>
      <c r="L170" s="674"/>
      <c r="M170" s="674"/>
      <c r="N170" s="674"/>
      <c r="O170" s="674"/>
      <c r="P170" s="674"/>
      <c r="Q170" s="674"/>
      <c r="R170" s="674"/>
      <c r="S170" s="674"/>
      <c r="T170" s="674"/>
      <c r="U170" s="674"/>
      <c r="V170" s="674"/>
      <c r="W170" s="674"/>
      <c r="X170" s="674"/>
      <c r="Y170" s="674"/>
      <c r="Z170" s="674"/>
      <c r="AA170" s="674"/>
      <c r="AB170" s="674"/>
      <c r="AC170" s="674"/>
      <c r="AD170" s="674"/>
      <c r="AE170" s="674"/>
      <c r="AF170" s="674"/>
      <c r="AG170" s="674"/>
      <c r="AH170" s="674"/>
      <c r="AI170" s="674"/>
      <c r="AJ170" s="674"/>
      <c r="AK170" s="674"/>
      <c r="AL170" s="674">
        <f t="shared" si="3"/>
        <v>0</v>
      </c>
      <c r="AM170" s="674"/>
      <c r="AN170" s="674"/>
      <c r="AO170" s="674"/>
      <c r="AP170" s="674"/>
      <c r="AQ170" s="674"/>
    </row>
    <row r="171" spans="2:43" s="709" customFormat="1">
      <c r="B171" s="876"/>
      <c r="C171" s="864" t="s">
        <v>278</v>
      </c>
      <c r="D171" s="914" t="s">
        <v>1739</v>
      </c>
      <c r="E171" s="878"/>
      <c r="F171" s="878"/>
      <c r="G171" s="875"/>
      <c r="H171" s="875"/>
      <c r="I171" s="875"/>
      <c r="J171" s="875"/>
      <c r="K171" s="875"/>
      <c r="L171" s="875"/>
      <c r="M171" s="875"/>
      <c r="N171" s="875"/>
      <c r="O171" s="875"/>
      <c r="P171" s="875"/>
      <c r="Q171" s="875"/>
      <c r="R171" s="875"/>
      <c r="S171" s="875">
        <v>25</v>
      </c>
      <c r="T171" s="875"/>
      <c r="U171" s="875"/>
      <c r="V171" s="875"/>
      <c r="W171" s="875"/>
      <c r="X171" s="875"/>
      <c r="Y171" s="875"/>
      <c r="Z171" s="875"/>
      <c r="AA171" s="875"/>
      <c r="AB171" s="877">
        <v>1</v>
      </c>
      <c r="AC171" s="875"/>
      <c r="AD171" s="875"/>
      <c r="AE171" s="875"/>
      <c r="AF171" s="875"/>
      <c r="AG171" s="875"/>
      <c r="AH171" s="875"/>
      <c r="AI171" s="875"/>
      <c r="AJ171" s="875"/>
      <c r="AK171" s="875">
        <v>25</v>
      </c>
      <c r="AL171" s="674">
        <f t="shared" si="3"/>
        <v>0</v>
      </c>
      <c r="AM171" s="875"/>
      <c r="AN171" s="875"/>
      <c r="AO171" s="875"/>
      <c r="AP171" s="875"/>
      <c r="AQ171" s="875"/>
    </row>
    <row r="172" spans="2:43">
      <c r="B172" s="818"/>
      <c r="C172" s="685" t="s">
        <v>278</v>
      </c>
      <c r="D172" s="672" t="s">
        <v>1740</v>
      </c>
      <c r="E172" s="673"/>
      <c r="F172" s="673"/>
      <c r="G172" s="674"/>
      <c r="H172" s="674"/>
      <c r="I172" s="674"/>
      <c r="J172" s="674"/>
      <c r="K172" s="674"/>
      <c r="L172" s="674"/>
      <c r="M172" s="674"/>
      <c r="N172" s="674"/>
      <c r="O172" s="674"/>
      <c r="P172" s="674"/>
      <c r="Q172" s="674"/>
      <c r="R172" s="674"/>
      <c r="S172" s="674">
        <v>10</v>
      </c>
      <c r="T172" s="674"/>
      <c r="U172" s="674"/>
      <c r="V172" s="674"/>
      <c r="W172" s="674"/>
      <c r="X172" s="674"/>
      <c r="Y172" s="674"/>
      <c r="Z172" s="674"/>
      <c r="AA172" s="674"/>
      <c r="AB172" s="863">
        <v>1</v>
      </c>
      <c r="AC172" s="674"/>
      <c r="AD172" s="674"/>
      <c r="AE172" s="674"/>
      <c r="AF172" s="674"/>
      <c r="AG172" s="674"/>
      <c r="AH172" s="674"/>
      <c r="AI172" s="674"/>
      <c r="AJ172" s="674"/>
      <c r="AK172" s="674">
        <v>10</v>
      </c>
      <c r="AL172" s="674">
        <f t="shared" si="3"/>
        <v>0</v>
      </c>
      <c r="AM172" s="674"/>
      <c r="AN172" s="674"/>
      <c r="AO172" s="674"/>
      <c r="AP172" s="674"/>
      <c r="AQ172" s="674"/>
    </row>
    <row r="173" spans="2:43">
      <c r="B173" s="818"/>
      <c r="C173" s="685"/>
      <c r="D173" s="672" t="s">
        <v>1741</v>
      </c>
      <c r="E173" s="673"/>
      <c r="F173" s="673"/>
      <c r="G173" s="674"/>
      <c r="H173" s="674"/>
      <c r="I173" s="674"/>
      <c r="J173" s="674"/>
      <c r="K173" s="674"/>
      <c r="L173" s="674"/>
      <c r="M173" s="674"/>
      <c r="N173" s="674"/>
      <c r="O173" s="674"/>
      <c r="P173" s="674"/>
      <c r="Q173" s="674"/>
      <c r="R173" s="674"/>
      <c r="S173" s="674">
        <v>25</v>
      </c>
      <c r="T173" s="674"/>
      <c r="U173" s="674"/>
      <c r="V173" s="674"/>
      <c r="W173" s="674"/>
      <c r="X173" s="674"/>
      <c r="Y173" s="674"/>
      <c r="Z173" s="674"/>
      <c r="AA173" s="674"/>
      <c r="AB173" s="863">
        <v>1</v>
      </c>
      <c r="AC173" s="674"/>
      <c r="AD173" s="674"/>
      <c r="AE173" s="674"/>
      <c r="AF173" s="674"/>
      <c r="AG173" s="674"/>
      <c r="AH173" s="674"/>
      <c r="AI173" s="674"/>
      <c r="AJ173" s="674"/>
      <c r="AK173" s="674">
        <v>25</v>
      </c>
      <c r="AL173" s="674">
        <f t="shared" si="3"/>
        <v>0</v>
      </c>
      <c r="AM173" s="674"/>
      <c r="AN173" s="674"/>
      <c r="AO173" s="674"/>
      <c r="AP173" s="674"/>
      <c r="AQ173" s="674"/>
    </row>
    <row r="174" spans="2:43">
      <c r="B174" s="818"/>
      <c r="C174" s="685"/>
      <c r="D174" s="672" t="s">
        <v>1742</v>
      </c>
      <c r="E174" s="673"/>
      <c r="F174" s="673"/>
      <c r="G174" s="674"/>
      <c r="H174" s="674"/>
      <c r="I174" s="674"/>
      <c r="J174" s="674"/>
      <c r="K174" s="674"/>
      <c r="L174" s="674"/>
      <c r="M174" s="674"/>
      <c r="N174" s="674"/>
      <c r="O174" s="674"/>
      <c r="P174" s="674"/>
      <c r="Q174" s="674"/>
      <c r="R174" s="674"/>
      <c r="S174" s="674">
        <v>50</v>
      </c>
      <c r="T174" s="674"/>
      <c r="U174" s="674"/>
      <c r="V174" s="674"/>
      <c r="W174" s="674"/>
      <c r="X174" s="674"/>
      <c r="Y174" s="674"/>
      <c r="Z174" s="674"/>
      <c r="AA174" s="674"/>
      <c r="AB174" s="863">
        <v>1</v>
      </c>
      <c r="AC174" s="674"/>
      <c r="AD174" s="674"/>
      <c r="AE174" s="674"/>
      <c r="AF174" s="674"/>
      <c r="AG174" s="674"/>
      <c r="AH174" s="674"/>
      <c r="AI174" s="674"/>
      <c r="AJ174" s="674"/>
      <c r="AK174" s="674">
        <v>50</v>
      </c>
      <c r="AL174" s="674">
        <f t="shared" si="3"/>
        <v>0</v>
      </c>
      <c r="AM174" s="674"/>
      <c r="AN174" s="674"/>
      <c r="AO174" s="674"/>
      <c r="AP174" s="674"/>
      <c r="AQ174" s="674"/>
    </row>
    <row r="175" spans="2:43">
      <c r="B175" s="818"/>
      <c r="C175" s="685"/>
      <c r="D175" s="672" t="s">
        <v>1743</v>
      </c>
      <c r="E175" s="673"/>
      <c r="F175" s="673"/>
      <c r="G175" s="674"/>
      <c r="H175" s="674"/>
      <c r="I175" s="674"/>
      <c r="J175" s="674"/>
      <c r="K175" s="674"/>
      <c r="L175" s="674"/>
      <c r="M175" s="674"/>
      <c r="N175" s="674"/>
      <c r="O175" s="674"/>
      <c r="P175" s="674"/>
      <c r="Q175" s="674"/>
      <c r="R175" s="674"/>
      <c r="S175" s="674">
        <v>25</v>
      </c>
      <c r="T175" s="674"/>
      <c r="U175" s="674"/>
      <c r="V175" s="674"/>
      <c r="W175" s="674"/>
      <c r="X175" s="674"/>
      <c r="Y175" s="674"/>
      <c r="Z175" s="674"/>
      <c r="AA175" s="674"/>
      <c r="AB175" s="863">
        <v>0.5</v>
      </c>
      <c r="AC175" s="863"/>
      <c r="AD175" s="674"/>
      <c r="AE175" s="674"/>
      <c r="AF175" s="674"/>
      <c r="AG175" s="674"/>
      <c r="AH175" s="674"/>
      <c r="AI175" s="674"/>
      <c r="AJ175" s="674"/>
      <c r="AK175" s="674">
        <v>25</v>
      </c>
      <c r="AL175" s="674">
        <f t="shared" si="3"/>
        <v>0</v>
      </c>
      <c r="AM175" s="674"/>
      <c r="AN175" s="674"/>
      <c r="AO175" s="674"/>
      <c r="AP175" s="674"/>
      <c r="AQ175" s="674"/>
    </row>
    <row r="176" spans="2:43" ht="28.5">
      <c r="B176" s="818"/>
      <c r="C176" s="685"/>
      <c r="D176" s="672" t="s">
        <v>1745</v>
      </c>
      <c r="E176" s="673"/>
      <c r="F176" s="673"/>
      <c r="G176" s="674"/>
      <c r="H176" s="674"/>
      <c r="I176" s="674"/>
      <c r="J176" s="674"/>
      <c r="K176" s="674"/>
      <c r="L176" s="674"/>
      <c r="M176" s="674"/>
      <c r="N176" s="674"/>
      <c r="O176" s="674"/>
      <c r="P176" s="674"/>
      <c r="Q176" s="674"/>
      <c r="R176" s="674"/>
      <c r="S176" s="674">
        <v>50</v>
      </c>
      <c r="T176" s="674"/>
      <c r="U176" s="674"/>
      <c r="V176" s="674"/>
      <c r="W176" s="674"/>
      <c r="X176" s="674"/>
      <c r="Y176" s="674"/>
      <c r="Z176" s="674"/>
      <c r="AA176" s="674"/>
      <c r="AB176" s="674">
        <v>100</v>
      </c>
      <c r="AC176" s="674"/>
      <c r="AD176" s="674"/>
      <c r="AE176" s="674"/>
      <c r="AF176" s="674"/>
      <c r="AG176" s="674"/>
      <c r="AH176" s="674"/>
      <c r="AI176" s="674"/>
      <c r="AJ176" s="674"/>
      <c r="AK176" s="674">
        <v>50</v>
      </c>
      <c r="AL176" s="674">
        <f t="shared" si="3"/>
        <v>0</v>
      </c>
      <c r="AM176" s="674"/>
      <c r="AN176" s="674"/>
      <c r="AO176" s="674"/>
      <c r="AP176" s="674"/>
      <c r="AQ176" s="674"/>
    </row>
    <row r="177" spans="2:44">
      <c r="B177" s="818"/>
      <c r="C177" s="685"/>
      <c r="D177" s="672"/>
      <c r="E177" s="673"/>
      <c r="F177" s="673"/>
      <c r="G177" s="674"/>
      <c r="H177" s="674"/>
      <c r="I177" s="674"/>
      <c r="J177" s="674"/>
      <c r="K177" s="674"/>
      <c r="L177" s="674"/>
      <c r="M177" s="674"/>
      <c r="N177" s="674"/>
      <c r="O177" s="674"/>
      <c r="P177" s="674"/>
      <c r="Q177" s="674"/>
      <c r="R177" s="674"/>
      <c r="S177" s="674"/>
      <c r="T177" s="674"/>
      <c r="U177" s="674"/>
      <c r="V177" s="674"/>
      <c r="W177" s="674"/>
      <c r="X177" s="674"/>
      <c r="Y177" s="674"/>
      <c r="Z177" s="674"/>
      <c r="AA177" s="674"/>
      <c r="AB177" s="674"/>
      <c r="AC177" s="674"/>
      <c r="AD177" s="674"/>
      <c r="AE177" s="674"/>
      <c r="AF177" s="674"/>
      <c r="AG177" s="674"/>
      <c r="AH177" s="674"/>
      <c r="AI177" s="674"/>
      <c r="AJ177" s="674"/>
      <c r="AK177" s="674"/>
      <c r="AL177" s="674"/>
      <c r="AM177" s="674"/>
      <c r="AN177" s="674"/>
      <c r="AO177" s="674"/>
      <c r="AP177" s="674"/>
      <c r="AQ177" s="674"/>
    </row>
    <row r="178" spans="2:44" ht="28.5">
      <c r="B178" s="818"/>
      <c r="C178" s="685"/>
      <c r="D178" s="672" t="s">
        <v>1747</v>
      </c>
      <c r="E178" s="673"/>
      <c r="F178" s="673"/>
      <c r="G178" s="674"/>
      <c r="H178" s="674"/>
      <c r="I178" s="674"/>
      <c r="J178" s="674"/>
      <c r="K178" s="674"/>
      <c r="L178" s="674"/>
      <c r="M178" s="674"/>
      <c r="N178" s="674"/>
      <c r="O178" s="674"/>
      <c r="P178" s="674"/>
      <c r="Q178" s="674"/>
      <c r="R178" s="674"/>
      <c r="S178" s="674">
        <v>95</v>
      </c>
      <c r="T178" s="674"/>
      <c r="U178" s="674"/>
      <c r="V178" s="674"/>
      <c r="W178" s="674"/>
      <c r="X178" s="674"/>
      <c r="Y178" s="674"/>
      <c r="Z178" s="674"/>
      <c r="AA178" s="674"/>
      <c r="AB178" s="863">
        <v>1</v>
      </c>
      <c r="AC178" s="674"/>
      <c r="AD178" s="674"/>
      <c r="AE178" s="674"/>
      <c r="AF178" s="674"/>
      <c r="AG178" s="674"/>
      <c r="AH178" s="674"/>
      <c r="AI178" s="674"/>
      <c r="AJ178" s="674"/>
      <c r="AK178" s="674">
        <v>95</v>
      </c>
      <c r="AL178" s="674">
        <f t="shared" si="3"/>
        <v>0</v>
      </c>
      <c r="AM178" s="674"/>
      <c r="AN178" s="674"/>
      <c r="AO178" s="674"/>
      <c r="AP178" s="674"/>
      <c r="AQ178" s="674"/>
    </row>
    <row r="179" spans="2:44">
      <c r="B179" s="818"/>
      <c r="C179" s="695"/>
      <c r="D179" s="919" t="s">
        <v>1867</v>
      </c>
      <c r="E179" s="697"/>
      <c r="F179" s="697"/>
      <c r="G179" s="674"/>
      <c r="H179" s="674"/>
      <c r="I179" s="674"/>
      <c r="J179" s="674"/>
      <c r="K179" s="674"/>
      <c r="L179" s="674"/>
      <c r="M179" s="674"/>
      <c r="N179" s="674"/>
      <c r="O179" s="674"/>
      <c r="P179" s="674"/>
      <c r="Q179" s="674"/>
      <c r="R179" s="674"/>
      <c r="S179" s="674">
        <v>10</v>
      </c>
      <c r="T179" s="674"/>
      <c r="U179" s="674"/>
      <c r="V179" s="674"/>
      <c r="W179" s="674"/>
      <c r="X179" s="674"/>
      <c r="Y179" s="674"/>
      <c r="Z179" s="674"/>
      <c r="AA179" s="674"/>
      <c r="AB179" s="674">
        <v>100</v>
      </c>
      <c r="AC179" s="674"/>
      <c r="AD179" s="674"/>
      <c r="AE179" s="674"/>
      <c r="AF179" s="674"/>
      <c r="AG179" s="674"/>
      <c r="AH179" s="674"/>
      <c r="AI179" s="674"/>
      <c r="AJ179" s="674"/>
      <c r="AK179" s="674">
        <v>10</v>
      </c>
      <c r="AL179" s="674">
        <f t="shared" si="3"/>
        <v>0</v>
      </c>
      <c r="AM179" s="674"/>
      <c r="AN179" s="674"/>
      <c r="AO179" s="674"/>
      <c r="AP179" s="674"/>
      <c r="AQ179" s="674"/>
    </row>
    <row r="180" spans="2:44" ht="15.75" thickBot="1">
      <c r="B180" s="818"/>
      <c r="C180" s="748"/>
      <c r="D180" s="749" t="s">
        <v>1868</v>
      </c>
      <c r="E180" s="750"/>
      <c r="F180" s="750"/>
      <c r="G180" s="674"/>
      <c r="H180" s="674"/>
      <c r="I180" s="674"/>
      <c r="J180" s="674"/>
      <c r="K180" s="674"/>
      <c r="L180" s="674"/>
      <c r="M180" s="674"/>
      <c r="N180" s="674"/>
      <c r="O180" s="674"/>
      <c r="P180" s="674"/>
      <c r="Q180" s="674"/>
      <c r="R180" s="674"/>
      <c r="S180" s="674">
        <v>15</v>
      </c>
      <c r="T180" s="674"/>
      <c r="U180" s="674"/>
      <c r="V180" s="674"/>
      <c r="W180" s="674"/>
      <c r="X180" s="674"/>
      <c r="Y180" s="674"/>
      <c r="Z180" s="674"/>
      <c r="AA180" s="674"/>
      <c r="AB180" s="674">
        <v>100</v>
      </c>
      <c r="AC180" s="674"/>
      <c r="AD180" s="674"/>
      <c r="AE180" s="674"/>
      <c r="AF180" s="674"/>
      <c r="AG180" s="674"/>
      <c r="AH180" s="674"/>
      <c r="AI180" s="674"/>
      <c r="AJ180" s="674"/>
      <c r="AK180" s="674">
        <v>15</v>
      </c>
      <c r="AL180" s="674">
        <f t="shared" si="3"/>
        <v>0</v>
      </c>
      <c r="AM180" s="674"/>
      <c r="AN180" s="674"/>
      <c r="AO180" s="674"/>
      <c r="AP180" s="674"/>
      <c r="AQ180" s="674"/>
    </row>
    <row r="181" spans="2:44">
      <c r="B181" s="818"/>
      <c r="C181" s="755"/>
      <c r="D181" s="920" t="s">
        <v>1869</v>
      </c>
      <c r="E181" s="757"/>
      <c r="F181" s="757"/>
      <c r="G181" s="674"/>
      <c r="H181" s="674"/>
      <c r="I181" s="674"/>
      <c r="J181" s="674"/>
      <c r="K181" s="674"/>
      <c r="L181" s="674"/>
      <c r="M181" s="674"/>
      <c r="N181" s="674"/>
      <c r="O181" s="674"/>
      <c r="P181" s="674"/>
      <c r="Q181" s="674"/>
      <c r="R181" s="674"/>
      <c r="S181" s="674">
        <v>10</v>
      </c>
      <c r="T181" s="674"/>
      <c r="U181" s="674"/>
      <c r="V181" s="674"/>
      <c r="W181" s="674"/>
      <c r="X181" s="674"/>
      <c r="Y181" s="674"/>
      <c r="Z181" s="674"/>
      <c r="AA181" s="674"/>
      <c r="AB181" s="674">
        <v>100</v>
      </c>
      <c r="AC181" s="674"/>
      <c r="AD181" s="674"/>
      <c r="AE181" s="674"/>
      <c r="AF181" s="674"/>
      <c r="AG181" s="674"/>
      <c r="AH181" s="674"/>
      <c r="AI181" s="674"/>
      <c r="AJ181" s="674"/>
      <c r="AK181" s="674">
        <v>10</v>
      </c>
      <c r="AL181" s="674">
        <f t="shared" si="3"/>
        <v>0</v>
      </c>
      <c r="AM181" s="674"/>
      <c r="AN181" s="674"/>
      <c r="AO181" s="674"/>
      <c r="AP181" s="674"/>
      <c r="AQ181" s="674"/>
    </row>
    <row r="182" spans="2:44">
      <c r="B182" s="818"/>
      <c r="C182" s="755"/>
      <c r="D182" s="920" t="s">
        <v>1870</v>
      </c>
      <c r="E182" s="757"/>
      <c r="F182" s="757"/>
      <c r="G182" s="674"/>
      <c r="H182" s="674"/>
      <c r="I182" s="674"/>
      <c r="J182" s="674"/>
      <c r="K182" s="674"/>
      <c r="L182" s="674"/>
      <c r="M182" s="674"/>
      <c r="N182" s="674"/>
      <c r="O182" s="674"/>
      <c r="P182" s="674"/>
      <c r="Q182" s="674"/>
      <c r="R182" s="674"/>
      <c r="S182" s="674">
        <v>25</v>
      </c>
      <c r="T182" s="674"/>
      <c r="U182" s="674"/>
      <c r="V182" s="674"/>
      <c r="W182" s="674"/>
      <c r="X182" s="674"/>
      <c r="Y182" s="674"/>
      <c r="Z182" s="674"/>
      <c r="AA182" s="674"/>
      <c r="AB182" s="674">
        <v>100</v>
      </c>
      <c r="AC182" s="674"/>
      <c r="AD182" s="674"/>
      <c r="AE182" s="674"/>
      <c r="AF182" s="674"/>
      <c r="AG182" s="674"/>
      <c r="AH182" s="674"/>
      <c r="AI182" s="674"/>
      <c r="AJ182" s="674"/>
      <c r="AK182" s="674">
        <v>25</v>
      </c>
      <c r="AL182" s="674">
        <f t="shared" si="3"/>
        <v>0</v>
      </c>
      <c r="AM182" s="674"/>
      <c r="AN182" s="674"/>
      <c r="AO182" s="674"/>
      <c r="AP182" s="674"/>
      <c r="AQ182" s="674"/>
    </row>
    <row r="183" spans="2:44">
      <c r="B183" s="818"/>
      <c r="C183" s="755"/>
      <c r="D183" s="920" t="s">
        <v>1871</v>
      </c>
      <c r="E183" s="757"/>
      <c r="F183" s="757"/>
      <c r="G183" s="674"/>
      <c r="H183" s="674"/>
      <c r="I183" s="674"/>
      <c r="J183" s="674"/>
      <c r="K183" s="674"/>
      <c r="L183" s="674"/>
      <c r="M183" s="674"/>
      <c r="N183" s="674"/>
      <c r="O183" s="674"/>
      <c r="P183" s="674"/>
      <c r="Q183" s="674"/>
      <c r="R183" s="674"/>
      <c r="S183" s="674">
        <v>10</v>
      </c>
      <c r="T183" s="674"/>
      <c r="U183" s="674"/>
      <c r="V183" s="674"/>
      <c r="W183" s="674"/>
      <c r="X183" s="674"/>
      <c r="Y183" s="674"/>
      <c r="Z183" s="674"/>
      <c r="AA183" s="674"/>
      <c r="AB183" s="674">
        <v>100</v>
      </c>
      <c r="AC183" s="674"/>
      <c r="AD183" s="674"/>
      <c r="AE183" s="674"/>
      <c r="AF183" s="674"/>
      <c r="AG183" s="674"/>
      <c r="AH183" s="674"/>
      <c r="AI183" s="674"/>
      <c r="AJ183" s="674"/>
      <c r="AK183" s="674">
        <v>10</v>
      </c>
      <c r="AL183" s="674">
        <f t="shared" si="3"/>
        <v>0</v>
      </c>
      <c r="AM183" s="674"/>
      <c r="AN183" s="674"/>
      <c r="AO183" s="674"/>
      <c r="AP183" s="674"/>
      <c r="AQ183" s="674"/>
    </row>
    <row r="184" spans="2:44">
      <c r="B184" s="818"/>
      <c r="C184" s="755"/>
      <c r="D184" s="920" t="s">
        <v>1872</v>
      </c>
      <c r="E184" s="757"/>
      <c r="F184" s="757"/>
      <c r="G184" s="674"/>
      <c r="H184" s="674"/>
      <c r="I184" s="674"/>
      <c r="J184" s="674"/>
      <c r="K184" s="674"/>
      <c r="L184" s="674"/>
      <c r="M184" s="674"/>
      <c r="N184" s="674"/>
      <c r="O184" s="674"/>
      <c r="P184" s="674"/>
      <c r="Q184" s="674"/>
      <c r="R184" s="674"/>
      <c r="S184" s="674">
        <v>20</v>
      </c>
      <c r="T184" s="674"/>
      <c r="U184" s="674"/>
      <c r="V184" s="674"/>
      <c r="W184" s="674"/>
      <c r="X184" s="674"/>
      <c r="Y184" s="674"/>
      <c r="Z184" s="674"/>
      <c r="AA184" s="674"/>
      <c r="AB184" s="674">
        <v>100</v>
      </c>
      <c r="AC184" s="674"/>
      <c r="AD184" s="674"/>
      <c r="AE184" s="674"/>
      <c r="AF184" s="674"/>
      <c r="AG184" s="674"/>
      <c r="AH184" s="674"/>
      <c r="AI184" s="674"/>
      <c r="AJ184" s="674"/>
      <c r="AK184" s="674">
        <v>20</v>
      </c>
      <c r="AL184" s="674">
        <f>AK184-S184</f>
        <v>0</v>
      </c>
      <c r="AM184" s="674"/>
      <c r="AN184" s="674"/>
      <c r="AO184" s="674"/>
      <c r="AP184" s="674"/>
      <c r="AQ184" s="674"/>
    </row>
    <row r="185" spans="2:44">
      <c r="B185" s="818"/>
      <c r="C185" s="755"/>
      <c r="D185" s="920"/>
      <c r="E185" s="757"/>
      <c r="F185" s="757"/>
      <c r="G185" s="674"/>
      <c r="H185" s="674"/>
      <c r="I185" s="674"/>
      <c r="J185" s="674"/>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4"/>
      <c r="AK185" s="674"/>
      <c r="AL185" s="674"/>
      <c r="AM185" s="674"/>
      <c r="AN185" s="674"/>
      <c r="AO185" s="674"/>
      <c r="AP185" s="674"/>
      <c r="AQ185" s="674"/>
    </row>
    <row r="186" spans="2:44" ht="15.75" thickBot="1">
      <c r="B186" s="818"/>
      <c r="C186" s="755"/>
      <c r="D186" s="705" t="s">
        <v>1657</v>
      </c>
      <c r="E186" s="757"/>
      <c r="F186" s="757"/>
      <c r="G186" s="674"/>
      <c r="H186" s="674"/>
      <c r="I186" s="674"/>
      <c r="J186" s="674"/>
      <c r="K186" s="674"/>
      <c r="L186" s="674"/>
      <c r="M186" s="674"/>
      <c r="N186" s="674"/>
      <c r="O186" s="674"/>
      <c r="P186" s="674"/>
      <c r="Q186" s="674"/>
      <c r="R186" s="674"/>
      <c r="S186" s="674">
        <v>25</v>
      </c>
      <c r="T186" s="674"/>
      <c r="U186" s="674"/>
      <c r="V186" s="674"/>
      <c r="W186" s="674"/>
      <c r="X186" s="674"/>
      <c r="Y186" s="674"/>
      <c r="Z186" s="674"/>
      <c r="AA186" s="674"/>
      <c r="AB186" s="674"/>
      <c r="AC186" s="674"/>
      <c r="AD186" s="674"/>
      <c r="AE186" s="674"/>
      <c r="AF186" s="674"/>
      <c r="AG186" s="674"/>
      <c r="AH186" s="674"/>
      <c r="AI186" s="674"/>
      <c r="AJ186" s="674"/>
      <c r="AK186" s="674"/>
      <c r="AL186" s="674"/>
      <c r="AM186" s="674"/>
      <c r="AN186" s="674"/>
      <c r="AO186" s="674"/>
      <c r="AP186" s="674"/>
      <c r="AQ186" s="674"/>
    </row>
    <row r="187" spans="2:44">
      <c r="B187" s="818"/>
      <c r="C187" s="836"/>
      <c r="D187" s="701"/>
      <c r="E187" s="668"/>
      <c r="F187" s="668"/>
      <c r="G187" s="674"/>
      <c r="H187" s="674"/>
      <c r="I187" s="674"/>
      <c r="J187" s="674"/>
      <c r="K187" s="674"/>
      <c r="L187" s="674"/>
      <c r="M187" s="674"/>
      <c r="N187" s="674"/>
      <c r="O187" s="674"/>
      <c r="P187" s="674"/>
      <c r="Q187" s="674"/>
      <c r="R187" s="674"/>
      <c r="S187" s="674"/>
      <c r="T187" s="674"/>
      <c r="U187" s="674"/>
      <c r="V187" s="674"/>
      <c r="W187" s="674"/>
      <c r="X187" s="674"/>
      <c r="Y187" s="674"/>
      <c r="Z187" s="674"/>
      <c r="AA187" s="674"/>
      <c r="AB187" s="674"/>
      <c r="AC187" s="674"/>
      <c r="AD187" s="674"/>
      <c r="AE187" s="674"/>
      <c r="AF187" s="674"/>
      <c r="AG187" s="674"/>
      <c r="AH187" s="674"/>
      <c r="AI187" s="674"/>
      <c r="AJ187" s="674"/>
      <c r="AK187" s="674"/>
      <c r="AL187" s="674"/>
      <c r="AM187" s="674"/>
      <c r="AN187" s="674"/>
      <c r="AO187" s="674"/>
      <c r="AP187" s="674"/>
      <c r="AQ187" s="674"/>
    </row>
    <row r="188" spans="2:44">
      <c r="B188" s="818"/>
      <c r="C188" s="671" t="s">
        <v>71</v>
      </c>
      <c r="D188" s="672"/>
      <c r="E188" s="673"/>
      <c r="F188" s="673"/>
      <c r="G188" s="674"/>
      <c r="H188" s="674"/>
      <c r="I188" s="674"/>
      <c r="J188" s="674"/>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4"/>
      <c r="AK188" s="674"/>
      <c r="AL188" s="674"/>
      <c r="AM188" s="674"/>
      <c r="AN188" s="674"/>
      <c r="AO188" s="674"/>
      <c r="AP188" s="674"/>
      <c r="AQ188" s="674"/>
    </row>
    <row r="189" spans="2:44">
      <c r="B189" s="818"/>
      <c r="C189" s="671" t="s">
        <v>276</v>
      </c>
      <c r="D189" s="672"/>
      <c r="E189" s="673"/>
      <c r="F189" s="673"/>
      <c r="G189" s="674"/>
      <c r="H189" s="674"/>
      <c r="I189" s="674"/>
      <c r="J189" s="674"/>
      <c r="K189" s="674"/>
      <c r="L189" s="674"/>
      <c r="M189" s="674"/>
      <c r="N189" s="674"/>
      <c r="O189" s="674"/>
      <c r="P189" s="674"/>
      <c r="Q189" s="674"/>
      <c r="R189" s="674"/>
      <c r="S189" s="674"/>
      <c r="T189" s="674"/>
      <c r="U189" s="674"/>
      <c r="V189" s="674"/>
      <c r="W189" s="674"/>
      <c r="X189" s="674"/>
      <c r="Y189" s="674"/>
      <c r="Z189" s="674"/>
      <c r="AA189" s="674"/>
      <c r="AB189" s="674"/>
      <c r="AC189" s="674"/>
      <c r="AD189" s="674"/>
      <c r="AE189" s="674"/>
      <c r="AF189" s="674"/>
      <c r="AG189" s="674"/>
      <c r="AH189" s="674"/>
      <c r="AI189" s="674"/>
      <c r="AJ189" s="674"/>
      <c r="AK189" s="674"/>
      <c r="AL189" s="674"/>
      <c r="AM189" s="674"/>
      <c r="AN189" s="674"/>
      <c r="AO189" s="674"/>
      <c r="AP189" s="674"/>
      <c r="AQ189" s="674"/>
    </row>
    <row r="190" spans="2:44">
      <c r="B190" s="818"/>
      <c r="C190" s="676" t="s">
        <v>277</v>
      </c>
      <c r="D190" s="672"/>
      <c r="E190" s="673"/>
      <c r="F190" s="673"/>
      <c r="G190" s="674"/>
      <c r="H190" s="674"/>
      <c r="I190" s="674"/>
      <c r="J190" s="674"/>
      <c r="K190" s="674"/>
      <c r="L190" s="674"/>
      <c r="M190" s="674"/>
      <c r="N190" s="674"/>
      <c r="O190" s="674"/>
      <c r="P190" s="674"/>
      <c r="Q190" s="674"/>
      <c r="R190" s="674"/>
      <c r="S190" s="674"/>
      <c r="T190" s="674"/>
      <c r="U190" s="674"/>
      <c r="V190" s="674"/>
      <c r="W190" s="674"/>
      <c r="X190" s="674"/>
      <c r="Y190" s="674"/>
      <c r="Z190" s="674"/>
      <c r="AA190" s="674"/>
      <c r="AB190" s="674"/>
      <c r="AC190" s="674"/>
      <c r="AD190" s="674"/>
      <c r="AE190" s="674"/>
      <c r="AF190" s="674"/>
      <c r="AG190" s="674"/>
      <c r="AH190" s="674"/>
      <c r="AI190" s="674"/>
      <c r="AJ190" s="674"/>
      <c r="AK190" s="674"/>
      <c r="AL190" s="674"/>
      <c r="AM190" s="674"/>
      <c r="AN190" s="674"/>
      <c r="AO190" s="674"/>
      <c r="AP190" s="674"/>
      <c r="AQ190" s="674"/>
    </row>
    <row r="191" spans="2:44" ht="45">
      <c r="B191" s="818"/>
      <c r="C191" s="676"/>
      <c r="D191" s="791" t="s">
        <v>1721</v>
      </c>
      <c r="E191" s="792" t="s">
        <v>1675</v>
      </c>
      <c r="F191" s="673"/>
      <c r="G191" s="674"/>
      <c r="H191" s="674"/>
      <c r="I191" s="674"/>
      <c r="J191" s="674"/>
      <c r="K191" s="674"/>
      <c r="L191" s="674"/>
      <c r="M191" s="674"/>
      <c r="N191" s="674"/>
      <c r="O191" s="674"/>
      <c r="P191" s="674"/>
      <c r="Q191" s="674"/>
      <c r="R191" s="674"/>
      <c r="S191" s="674"/>
      <c r="T191" s="674">
        <v>110</v>
      </c>
      <c r="U191" s="674"/>
      <c r="V191" s="674"/>
      <c r="W191" s="674"/>
      <c r="X191" s="674"/>
      <c r="Y191" s="674"/>
      <c r="Z191" s="674"/>
      <c r="AA191" s="674"/>
      <c r="AB191" s="674"/>
      <c r="AC191" s="863">
        <v>1</v>
      </c>
      <c r="AD191" s="863"/>
      <c r="AE191" s="674"/>
      <c r="AF191" s="674"/>
      <c r="AG191" s="674"/>
      <c r="AH191" s="674"/>
      <c r="AI191" s="674"/>
      <c r="AJ191" s="674"/>
      <c r="AK191" s="674"/>
      <c r="AL191" s="674">
        <v>110</v>
      </c>
      <c r="AM191" s="674"/>
      <c r="AN191" s="674"/>
      <c r="AO191" s="674"/>
      <c r="AP191" s="674"/>
      <c r="AQ191" s="674"/>
      <c r="AR191" s="673"/>
    </row>
    <row r="192" spans="2:44" ht="45">
      <c r="B192" s="818"/>
      <c r="C192" s="685" t="s">
        <v>278</v>
      </c>
      <c r="D192" s="866" t="s">
        <v>1756</v>
      </c>
      <c r="E192" s="792" t="s">
        <v>1678</v>
      </c>
      <c r="F192" s="673"/>
      <c r="G192" s="674"/>
      <c r="H192" s="674"/>
      <c r="I192" s="674"/>
      <c r="J192" s="674"/>
      <c r="K192" s="674"/>
      <c r="L192" s="674"/>
      <c r="M192" s="674"/>
      <c r="N192" s="674"/>
      <c r="O192" s="674"/>
      <c r="P192" s="674"/>
      <c r="Q192" s="674"/>
      <c r="R192" s="674"/>
      <c r="S192" s="674"/>
      <c r="T192" s="674">
        <v>250</v>
      </c>
      <c r="U192" s="674"/>
      <c r="V192" s="674"/>
      <c r="W192" s="674"/>
      <c r="X192" s="674"/>
      <c r="Y192" s="674"/>
      <c r="Z192" s="674"/>
      <c r="AA192" s="674"/>
      <c r="AB192" s="674"/>
      <c r="AC192" s="863">
        <v>1</v>
      </c>
      <c r="AD192" s="863"/>
      <c r="AE192" s="674"/>
      <c r="AF192" s="674"/>
      <c r="AG192" s="674"/>
      <c r="AH192" s="674"/>
      <c r="AI192" s="674"/>
      <c r="AJ192" s="674"/>
      <c r="AK192" s="674"/>
      <c r="AL192" s="674">
        <v>250</v>
      </c>
      <c r="AM192" s="674"/>
      <c r="AN192" s="674"/>
      <c r="AO192" s="674"/>
      <c r="AP192" s="674"/>
      <c r="AQ192" s="674"/>
      <c r="AR192" s="673"/>
    </row>
    <row r="193" spans="2:43">
      <c r="B193" s="818"/>
      <c r="C193" s="685" t="s">
        <v>278</v>
      </c>
      <c r="D193" s="672" t="s">
        <v>1738</v>
      </c>
      <c r="E193" s="673"/>
      <c r="F193" s="673"/>
      <c r="G193" s="674"/>
      <c r="H193" s="674"/>
      <c r="I193" s="674"/>
      <c r="J193" s="674"/>
      <c r="K193" s="674"/>
      <c r="L193" s="674"/>
      <c r="M193" s="674"/>
      <c r="N193" s="674"/>
      <c r="O193" s="674"/>
      <c r="P193" s="674"/>
      <c r="Q193" s="674"/>
      <c r="R193" s="674"/>
      <c r="S193" s="674"/>
      <c r="T193" s="674">
        <v>800</v>
      </c>
      <c r="U193" s="674"/>
      <c r="V193" s="674"/>
      <c r="W193" s="674"/>
      <c r="X193" s="674"/>
      <c r="Y193" s="674"/>
      <c r="Z193" s="674"/>
      <c r="AA193" s="674"/>
      <c r="AB193" s="674"/>
      <c r="AC193" s="863">
        <v>0.33</v>
      </c>
      <c r="AD193" s="674"/>
      <c r="AE193" s="674"/>
      <c r="AF193" s="674"/>
      <c r="AG193" s="674"/>
      <c r="AH193" s="674"/>
      <c r="AI193" s="674"/>
      <c r="AJ193" s="674"/>
      <c r="AK193" s="674"/>
      <c r="AL193" s="674">
        <v>800</v>
      </c>
      <c r="AM193" s="674"/>
      <c r="AN193" s="674"/>
      <c r="AO193" s="674"/>
      <c r="AP193" s="674"/>
      <c r="AQ193" s="674"/>
    </row>
    <row r="194" spans="2:43">
      <c r="B194" s="818"/>
      <c r="C194" s="685" t="s">
        <v>1721</v>
      </c>
      <c r="D194" s="933" t="s">
        <v>1580</v>
      </c>
      <c r="E194" s="898"/>
      <c r="F194" s="673" t="s">
        <v>1851</v>
      </c>
      <c r="G194" s="674"/>
      <c r="H194" s="674"/>
      <c r="I194" s="674"/>
      <c r="J194" s="674" t="s">
        <v>1670</v>
      </c>
      <c r="K194" s="674"/>
      <c r="L194" s="674"/>
      <c r="M194" s="674"/>
      <c r="N194" s="674"/>
      <c r="O194" s="873">
        <v>461</v>
      </c>
      <c r="P194" s="674"/>
      <c r="Q194" s="674"/>
      <c r="R194" s="674"/>
      <c r="S194" s="674"/>
      <c r="T194" s="873">
        <v>49</v>
      </c>
      <c r="U194" s="674"/>
      <c r="V194" s="674"/>
      <c r="W194" s="674"/>
      <c r="X194" s="674"/>
      <c r="Y194" s="674"/>
      <c r="Z194" s="674"/>
      <c r="AA194" s="674"/>
      <c r="AB194" s="674"/>
      <c r="AC194" s="863">
        <v>1</v>
      </c>
      <c r="AD194" s="674"/>
      <c r="AE194" s="674"/>
      <c r="AF194" s="674"/>
      <c r="AG194" s="873">
        <v>461</v>
      </c>
      <c r="AH194" s="674"/>
      <c r="AI194" s="674"/>
      <c r="AJ194" s="674"/>
      <c r="AK194" s="674"/>
      <c r="AL194" s="873">
        <v>49</v>
      </c>
      <c r="AM194" s="674"/>
      <c r="AN194" s="674"/>
      <c r="AO194" s="674"/>
      <c r="AP194" s="674"/>
      <c r="AQ194" s="674"/>
    </row>
    <row r="195" spans="2:43" ht="28.5">
      <c r="B195" s="818"/>
      <c r="C195" s="685"/>
      <c r="D195" s="914" t="s">
        <v>1718</v>
      </c>
      <c r="E195" s="898"/>
      <c r="F195" s="673"/>
      <c r="G195" s="674"/>
      <c r="H195" s="674"/>
      <c r="I195" s="674"/>
      <c r="J195" s="674"/>
      <c r="K195" s="674"/>
      <c r="L195" s="674"/>
      <c r="M195" s="674"/>
      <c r="N195" s="674"/>
      <c r="O195" s="873"/>
      <c r="P195" s="674"/>
      <c r="Q195" s="674"/>
      <c r="R195" s="674"/>
      <c r="S195" s="674"/>
      <c r="T195" s="873"/>
      <c r="U195" s="674"/>
      <c r="V195" s="674"/>
      <c r="W195" s="674"/>
      <c r="X195" s="674"/>
      <c r="Y195" s="674"/>
      <c r="Z195" s="674"/>
      <c r="AA195" s="674"/>
      <c r="AB195" s="674"/>
      <c r="AC195" s="863"/>
      <c r="AD195" s="674"/>
      <c r="AE195" s="674"/>
      <c r="AF195" s="674"/>
      <c r="AG195" s="873"/>
      <c r="AH195" s="674"/>
      <c r="AI195" s="674"/>
      <c r="AJ195" s="674"/>
      <c r="AK195" s="674"/>
      <c r="AL195" s="873">
        <v>2600</v>
      </c>
      <c r="AM195" s="674"/>
      <c r="AN195" s="674"/>
      <c r="AO195" s="674"/>
      <c r="AP195" s="674"/>
      <c r="AQ195" s="674"/>
    </row>
    <row r="196" spans="2:43">
      <c r="B196" s="818"/>
      <c r="C196" s="676" t="s">
        <v>279</v>
      </c>
      <c r="D196" s="672"/>
      <c r="E196" s="673"/>
      <c r="F196" s="673"/>
      <c r="G196" s="674"/>
      <c r="H196" s="674"/>
      <c r="I196" s="674"/>
      <c r="J196" s="674"/>
      <c r="K196" s="674"/>
      <c r="L196" s="674"/>
      <c r="M196" s="674"/>
      <c r="N196" s="674"/>
      <c r="O196" s="674"/>
      <c r="P196" s="674"/>
      <c r="Q196" s="674"/>
      <c r="R196" s="674"/>
      <c r="S196" s="674"/>
      <c r="T196" s="674"/>
      <c r="U196" s="674"/>
      <c r="V196" s="674"/>
      <c r="W196" s="674"/>
      <c r="X196" s="674"/>
      <c r="Y196" s="674"/>
      <c r="Z196" s="674"/>
      <c r="AA196" s="674"/>
      <c r="AB196" s="674"/>
      <c r="AC196" s="674"/>
      <c r="AD196" s="674"/>
      <c r="AE196" s="674"/>
      <c r="AF196" s="674"/>
      <c r="AG196" s="674"/>
      <c r="AH196" s="674"/>
      <c r="AI196" s="674"/>
      <c r="AJ196" s="674"/>
      <c r="AK196" s="674"/>
      <c r="AL196" s="674"/>
      <c r="AM196" s="674"/>
      <c r="AN196" s="674"/>
      <c r="AO196" s="674"/>
      <c r="AP196" s="674"/>
      <c r="AQ196" s="674"/>
    </row>
    <row r="197" spans="2:43" s="709" customFormat="1" ht="28.5">
      <c r="B197" s="876"/>
      <c r="C197" s="921"/>
      <c r="D197" s="914" t="s">
        <v>1874</v>
      </c>
      <c r="E197" s="878"/>
      <c r="F197" s="878"/>
      <c r="G197" s="875"/>
      <c r="H197" s="875"/>
      <c r="I197" s="875"/>
      <c r="J197" s="875"/>
      <c r="K197" s="875"/>
      <c r="L197" s="875"/>
      <c r="M197" s="875"/>
      <c r="N197" s="875"/>
      <c r="O197" s="875"/>
      <c r="P197" s="875"/>
      <c r="Q197" s="875"/>
      <c r="R197" s="875"/>
      <c r="S197" s="875"/>
      <c r="T197" s="875">
        <v>500</v>
      </c>
      <c r="U197" s="875"/>
      <c r="V197" s="875"/>
      <c r="W197" s="875"/>
      <c r="X197" s="875"/>
      <c r="Y197" s="875"/>
      <c r="Z197" s="875"/>
      <c r="AA197" s="875"/>
      <c r="AB197" s="875"/>
      <c r="AC197" s="877">
        <v>1</v>
      </c>
      <c r="AD197" s="875"/>
      <c r="AE197" s="875"/>
      <c r="AF197" s="875"/>
      <c r="AG197" s="875"/>
      <c r="AH197" s="875"/>
      <c r="AI197" s="875"/>
      <c r="AJ197" s="875"/>
      <c r="AK197" s="875"/>
      <c r="AL197" s="875">
        <v>500</v>
      </c>
      <c r="AM197" s="875"/>
      <c r="AN197" s="875"/>
      <c r="AO197" s="875"/>
      <c r="AP197" s="875"/>
      <c r="AQ197" s="875"/>
    </row>
    <row r="198" spans="2:43">
      <c r="B198" s="818"/>
      <c r="C198" s="676"/>
      <c r="D198" s="672" t="s">
        <v>1724</v>
      </c>
      <c r="E198" s="673"/>
      <c r="F198" s="673"/>
      <c r="G198" s="674"/>
      <c r="H198" s="674"/>
      <c r="I198" s="674"/>
      <c r="J198" s="674"/>
      <c r="K198" s="674"/>
      <c r="L198" s="674"/>
      <c r="M198" s="674"/>
      <c r="N198" s="674"/>
      <c r="O198" s="674"/>
      <c r="P198" s="674"/>
      <c r="Q198" s="674"/>
      <c r="R198" s="674"/>
      <c r="S198" s="674"/>
      <c r="T198" s="674">
        <v>300</v>
      </c>
      <c r="U198" s="674"/>
      <c r="V198" s="674"/>
      <c r="W198" s="674"/>
      <c r="X198" s="674"/>
      <c r="Y198" s="674"/>
      <c r="Z198" s="674"/>
      <c r="AA198" s="674"/>
      <c r="AB198" s="916"/>
      <c r="AC198" s="863">
        <v>1</v>
      </c>
      <c r="AD198" s="674"/>
      <c r="AE198" s="674"/>
      <c r="AF198" s="674"/>
      <c r="AG198" s="674"/>
      <c r="AH198" s="674"/>
      <c r="AI198" s="674"/>
      <c r="AJ198" s="674"/>
      <c r="AK198" s="674"/>
      <c r="AL198" s="674">
        <v>300</v>
      </c>
      <c r="AM198" s="674"/>
      <c r="AN198" s="674"/>
      <c r="AO198" s="674"/>
      <c r="AP198" s="674"/>
      <c r="AQ198" s="674"/>
    </row>
    <row r="199" spans="2:43">
      <c r="B199" s="818"/>
      <c r="C199" s="676"/>
      <c r="D199" s="672" t="s">
        <v>1761</v>
      </c>
      <c r="E199" s="673"/>
      <c r="F199" s="673"/>
      <c r="G199" s="674"/>
      <c r="H199" s="674"/>
      <c r="I199" s="674"/>
      <c r="J199" s="674"/>
      <c r="K199" s="674"/>
      <c r="L199" s="674"/>
      <c r="M199" s="674"/>
      <c r="N199" s="674"/>
      <c r="O199" s="674"/>
      <c r="P199" s="674"/>
      <c r="Q199" s="674"/>
      <c r="R199" s="674"/>
      <c r="S199" s="674"/>
      <c r="T199" s="674">
        <v>500</v>
      </c>
      <c r="U199" s="674"/>
      <c r="V199" s="674"/>
      <c r="W199" s="674"/>
      <c r="X199" s="674"/>
      <c r="Y199" s="674"/>
      <c r="Z199" s="674"/>
      <c r="AA199" s="674"/>
      <c r="AB199" s="674"/>
      <c r="AC199" s="916">
        <v>0.29409999999999997</v>
      </c>
      <c r="AD199" s="674"/>
      <c r="AE199" s="674"/>
      <c r="AF199" s="674"/>
      <c r="AG199" s="674"/>
      <c r="AH199" s="674"/>
      <c r="AI199" s="674"/>
      <c r="AJ199" s="674"/>
      <c r="AK199" s="674"/>
      <c r="AL199" s="674">
        <v>500</v>
      </c>
      <c r="AM199" s="674"/>
      <c r="AN199" s="674"/>
      <c r="AO199" s="674"/>
      <c r="AP199" s="674"/>
      <c r="AQ199" s="674"/>
    </row>
    <row r="200" spans="2:43" ht="28.5">
      <c r="B200" s="818"/>
      <c r="C200" s="676"/>
      <c r="D200" s="672" t="s">
        <v>1762</v>
      </c>
      <c r="E200" s="673"/>
      <c r="F200" s="673"/>
      <c r="G200" s="674"/>
      <c r="H200" s="674"/>
      <c r="I200" s="674"/>
      <c r="J200" s="674"/>
      <c r="K200" s="674"/>
      <c r="L200" s="674"/>
      <c r="M200" s="674"/>
      <c r="N200" s="674"/>
      <c r="O200" s="674"/>
      <c r="P200" s="674"/>
      <c r="Q200" s="674"/>
      <c r="R200" s="674"/>
      <c r="S200" s="674"/>
      <c r="T200" s="674">
        <v>150</v>
      </c>
      <c r="U200" s="674"/>
      <c r="V200" s="674"/>
      <c r="W200" s="674"/>
      <c r="X200" s="674"/>
      <c r="Y200" s="674"/>
      <c r="Z200" s="674"/>
      <c r="AA200" s="674"/>
      <c r="AB200" s="674"/>
      <c r="AC200" s="674">
        <v>100</v>
      </c>
      <c r="AD200" s="674"/>
      <c r="AE200" s="674"/>
      <c r="AF200" s="674"/>
      <c r="AG200" s="674"/>
      <c r="AH200" s="674"/>
      <c r="AI200" s="674"/>
      <c r="AJ200" s="674"/>
      <c r="AK200" s="674"/>
      <c r="AL200" s="674">
        <v>400</v>
      </c>
      <c r="AM200" s="674"/>
      <c r="AN200" s="674"/>
      <c r="AO200" s="674"/>
      <c r="AP200" s="674"/>
      <c r="AQ200" s="674"/>
    </row>
    <row r="201" spans="2:43" ht="28.5">
      <c r="B201" s="818"/>
      <c r="C201" s="676"/>
      <c r="D201" s="672" t="s">
        <v>1875</v>
      </c>
      <c r="E201" s="673"/>
      <c r="F201" s="673"/>
      <c r="G201" s="674"/>
      <c r="H201" s="674"/>
      <c r="I201" s="674"/>
      <c r="J201" s="674"/>
      <c r="K201" s="674"/>
      <c r="L201" s="674"/>
      <c r="M201" s="674"/>
      <c r="N201" s="674"/>
      <c r="O201" s="674"/>
      <c r="P201" s="674"/>
      <c r="Q201" s="674"/>
      <c r="R201" s="674"/>
      <c r="S201" s="674"/>
      <c r="T201" s="674">
        <v>100</v>
      </c>
      <c r="U201" s="674"/>
      <c r="V201" s="674"/>
      <c r="W201" s="674"/>
      <c r="X201" s="674"/>
      <c r="Y201" s="674"/>
      <c r="Z201" s="674"/>
      <c r="AA201" s="674"/>
      <c r="AB201" s="674"/>
      <c r="AC201" s="863">
        <v>1</v>
      </c>
      <c r="AD201" s="863"/>
      <c r="AE201" s="863"/>
      <c r="AF201" s="863"/>
      <c r="AG201" s="674"/>
      <c r="AH201" s="674"/>
      <c r="AI201" s="674"/>
      <c r="AJ201" s="674"/>
      <c r="AK201" s="674"/>
      <c r="AL201" s="674">
        <v>100</v>
      </c>
      <c r="AM201" s="674"/>
      <c r="AN201" s="674"/>
      <c r="AO201" s="674"/>
      <c r="AP201" s="674"/>
      <c r="AQ201" s="674"/>
    </row>
    <row r="202" spans="2:43" ht="28.5">
      <c r="B202" s="818"/>
      <c r="C202" s="676"/>
      <c r="D202" s="672" t="s">
        <v>1730</v>
      </c>
      <c r="E202" s="673"/>
      <c r="F202" s="673"/>
      <c r="G202" s="674"/>
      <c r="H202" s="674"/>
      <c r="I202" s="674"/>
      <c r="J202" s="674"/>
      <c r="K202" s="674"/>
      <c r="L202" s="674"/>
      <c r="M202" s="674"/>
      <c r="N202" s="674"/>
      <c r="O202" s="674"/>
      <c r="P202" s="674"/>
      <c r="Q202" s="674"/>
      <c r="R202" s="674"/>
      <c r="S202" s="674"/>
      <c r="T202" s="674">
        <v>100</v>
      </c>
      <c r="U202" s="674"/>
      <c r="V202" s="674"/>
      <c r="W202" s="674"/>
      <c r="X202" s="674"/>
      <c r="Y202" s="674"/>
      <c r="Z202" s="674"/>
      <c r="AA202" s="674"/>
      <c r="AB202" s="674"/>
      <c r="AC202" s="674">
        <v>100</v>
      </c>
      <c r="AD202" s="674"/>
      <c r="AE202" s="674"/>
      <c r="AF202" s="674"/>
      <c r="AG202" s="674"/>
      <c r="AH202" s="674"/>
      <c r="AI202" s="674"/>
      <c r="AJ202" s="674"/>
      <c r="AK202" s="674"/>
      <c r="AL202" s="674">
        <v>0</v>
      </c>
      <c r="AM202" s="674"/>
      <c r="AN202" s="674"/>
      <c r="AO202" s="674"/>
      <c r="AP202" s="674"/>
      <c r="AQ202" s="674"/>
    </row>
    <row r="203" spans="2:43">
      <c r="B203" s="818"/>
      <c r="C203" s="676"/>
      <c r="D203" s="672" t="s">
        <v>1732</v>
      </c>
      <c r="E203" s="673"/>
      <c r="F203" s="673"/>
      <c r="G203" s="674"/>
      <c r="H203" s="674"/>
      <c r="I203" s="674"/>
      <c r="J203" s="674"/>
      <c r="K203" s="674"/>
      <c r="L203" s="674"/>
      <c r="M203" s="674"/>
      <c r="N203" s="674"/>
      <c r="O203" s="674"/>
      <c r="P203" s="674"/>
      <c r="Q203" s="674"/>
      <c r="R203" s="674"/>
      <c r="S203" s="674"/>
      <c r="T203" s="674">
        <v>500</v>
      </c>
      <c r="U203" s="674"/>
      <c r="V203" s="674"/>
      <c r="W203" s="674"/>
      <c r="X203" s="674"/>
      <c r="Y203" s="674"/>
      <c r="Z203" s="674"/>
      <c r="AA203" s="674"/>
      <c r="AB203" s="674"/>
      <c r="AC203" s="674">
        <v>100</v>
      </c>
      <c r="AD203" s="674"/>
      <c r="AE203" s="674"/>
      <c r="AF203" s="674"/>
      <c r="AG203" s="674"/>
      <c r="AH203" s="674"/>
      <c r="AI203" s="674"/>
      <c r="AJ203" s="674"/>
      <c r="AK203" s="674"/>
      <c r="AL203" s="674">
        <v>750</v>
      </c>
      <c r="AM203" s="674"/>
      <c r="AN203" s="674"/>
      <c r="AO203" s="674"/>
      <c r="AP203" s="674"/>
      <c r="AQ203" s="674"/>
    </row>
    <row r="204" spans="2:43">
      <c r="B204" s="818"/>
      <c r="C204" s="676"/>
      <c r="D204" s="672" t="s">
        <v>1764</v>
      </c>
      <c r="E204" s="673"/>
      <c r="F204" s="673"/>
      <c r="G204" s="674"/>
      <c r="H204" s="674"/>
      <c r="I204" s="674"/>
      <c r="J204" s="674"/>
      <c r="K204" s="674"/>
      <c r="L204" s="674"/>
      <c r="M204" s="674"/>
      <c r="N204" s="674"/>
      <c r="O204" s="674"/>
      <c r="P204" s="674"/>
      <c r="Q204" s="674"/>
      <c r="R204" s="674"/>
      <c r="S204" s="674"/>
      <c r="T204" s="674">
        <v>600</v>
      </c>
      <c r="U204" s="674"/>
      <c r="V204" s="674"/>
      <c r="W204" s="674"/>
      <c r="X204" s="674"/>
      <c r="Y204" s="674"/>
      <c r="Z204" s="674"/>
      <c r="AA204" s="674"/>
      <c r="AB204" s="674"/>
      <c r="AC204" s="674">
        <v>100</v>
      </c>
      <c r="AD204" s="674"/>
      <c r="AE204" s="674"/>
      <c r="AF204" s="674"/>
      <c r="AG204" s="674"/>
      <c r="AH204" s="674"/>
      <c r="AI204" s="674"/>
      <c r="AJ204" s="674"/>
      <c r="AK204" s="674"/>
      <c r="AL204" s="674">
        <v>600</v>
      </c>
      <c r="AM204" s="674"/>
      <c r="AN204" s="674"/>
      <c r="AO204" s="674"/>
      <c r="AP204" s="674"/>
      <c r="AQ204" s="674"/>
    </row>
    <row r="205" spans="2:43" ht="28.5">
      <c r="B205" s="818"/>
      <c r="C205" s="676"/>
      <c r="D205" s="672" t="s">
        <v>1734</v>
      </c>
      <c r="E205" s="673"/>
      <c r="F205" s="673"/>
      <c r="G205" s="674"/>
      <c r="H205" s="674"/>
      <c r="I205" s="674"/>
      <c r="J205" s="674"/>
      <c r="K205" s="674"/>
      <c r="L205" s="674"/>
      <c r="M205" s="674"/>
      <c r="N205" s="674"/>
      <c r="O205" s="674"/>
      <c r="P205" s="674"/>
      <c r="Q205" s="674"/>
      <c r="R205" s="674"/>
      <c r="S205" s="674"/>
      <c r="T205" s="674">
        <v>500</v>
      </c>
      <c r="U205" s="674"/>
      <c r="V205" s="674"/>
      <c r="W205" s="674"/>
      <c r="X205" s="674"/>
      <c r="Y205" s="674"/>
      <c r="Z205" s="674"/>
      <c r="AA205" s="674"/>
      <c r="AB205" s="674"/>
      <c r="AC205" s="863">
        <v>0.33</v>
      </c>
      <c r="AD205" s="674"/>
      <c r="AE205" s="674"/>
      <c r="AF205" s="674"/>
      <c r="AG205" s="674"/>
      <c r="AH205" s="674"/>
      <c r="AI205" s="674"/>
      <c r="AJ205" s="674"/>
      <c r="AK205" s="674"/>
      <c r="AL205" s="674">
        <v>500</v>
      </c>
      <c r="AM205" s="674"/>
      <c r="AN205" s="674"/>
      <c r="AO205" s="674"/>
      <c r="AP205" s="674"/>
      <c r="AQ205" s="674"/>
    </row>
    <row r="206" spans="2:43">
      <c r="B206" s="818"/>
      <c r="C206" s="685" t="s">
        <v>278</v>
      </c>
      <c r="D206" s="672" t="s">
        <v>1876</v>
      </c>
      <c r="E206" s="673"/>
      <c r="F206" s="673"/>
      <c r="G206" s="674"/>
      <c r="H206" s="674"/>
      <c r="I206" s="674"/>
      <c r="J206" s="674"/>
      <c r="K206" s="674"/>
      <c r="L206" s="674"/>
      <c r="M206" s="674"/>
      <c r="N206" s="674"/>
      <c r="O206" s="674"/>
      <c r="P206" s="674"/>
      <c r="Q206" s="674"/>
      <c r="R206" s="674"/>
      <c r="S206" s="674"/>
      <c r="T206" s="674">
        <v>3000</v>
      </c>
      <c r="U206" s="674"/>
      <c r="V206" s="674"/>
      <c r="W206" s="674"/>
      <c r="X206" s="674"/>
      <c r="Y206" s="674"/>
      <c r="Z206" s="674"/>
      <c r="AA206" s="674"/>
      <c r="AB206" s="674"/>
      <c r="AC206" s="916">
        <v>0.33329999999999999</v>
      </c>
      <c r="AD206" s="674"/>
      <c r="AE206" s="674"/>
      <c r="AF206" s="674"/>
      <c r="AG206" s="674"/>
      <c r="AH206" s="674"/>
      <c r="AI206" s="674"/>
      <c r="AJ206" s="674"/>
      <c r="AK206" s="674"/>
      <c r="AL206" s="674">
        <v>3000</v>
      </c>
      <c r="AM206" s="674"/>
      <c r="AN206" s="674"/>
      <c r="AO206" s="674"/>
      <c r="AP206" s="674"/>
      <c r="AQ206" s="674"/>
    </row>
    <row r="207" spans="2:43" ht="42.75">
      <c r="B207" s="818"/>
      <c r="C207" s="685" t="s">
        <v>278</v>
      </c>
      <c r="D207" s="672" t="s">
        <v>1891</v>
      </c>
      <c r="E207" s="673"/>
      <c r="F207" s="673"/>
      <c r="G207" s="674"/>
      <c r="H207" s="674"/>
      <c r="I207" s="674"/>
      <c r="J207" s="674"/>
      <c r="K207" s="674"/>
      <c r="L207" s="674"/>
      <c r="M207" s="674"/>
      <c r="N207" s="674"/>
      <c r="O207" s="674"/>
      <c r="P207" s="674"/>
      <c r="Q207" s="674"/>
      <c r="R207" s="674"/>
      <c r="S207" s="674"/>
      <c r="T207" s="674">
        <v>25</v>
      </c>
      <c r="U207" s="674"/>
      <c r="V207" s="674"/>
      <c r="W207" s="674"/>
      <c r="X207" s="674"/>
      <c r="Y207" s="674"/>
      <c r="Z207" s="674"/>
      <c r="AA207" s="674"/>
      <c r="AB207" s="674"/>
      <c r="AC207" s="674">
        <v>100</v>
      </c>
      <c r="AD207" s="674"/>
      <c r="AE207" s="674"/>
      <c r="AF207" s="674"/>
      <c r="AG207" s="674"/>
      <c r="AH207" s="674"/>
      <c r="AI207" s="674"/>
      <c r="AJ207" s="674"/>
      <c r="AK207" s="674"/>
      <c r="AL207" s="674">
        <v>25</v>
      </c>
      <c r="AM207" s="674"/>
      <c r="AN207" s="674"/>
      <c r="AO207" s="674"/>
      <c r="AP207" s="674"/>
      <c r="AQ207" s="674"/>
    </row>
    <row r="208" spans="2:43" ht="42.75">
      <c r="B208" s="818"/>
      <c r="C208" s="685"/>
      <c r="D208" s="672" t="s">
        <v>1892</v>
      </c>
      <c r="E208" s="673"/>
      <c r="F208" s="673"/>
      <c r="G208" s="674"/>
      <c r="H208" s="674"/>
      <c r="I208" s="674"/>
      <c r="J208" s="674"/>
      <c r="K208" s="674"/>
      <c r="L208" s="674"/>
      <c r="M208" s="674"/>
      <c r="N208" s="674"/>
      <c r="O208" s="674"/>
      <c r="P208" s="674"/>
      <c r="Q208" s="674"/>
      <c r="R208" s="674"/>
      <c r="S208" s="674"/>
      <c r="T208" s="674">
        <v>500</v>
      </c>
      <c r="U208" s="674"/>
      <c r="V208" s="674"/>
      <c r="W208" s="674"/>
      <c r="X208" s="674"/>
      <c r="Y208" s="674"/>
      <c r="Z208" s="674"/>
      <c r="AA208" s="674"/>
      <c r="AB208" s="674"/>
      <c r="AC208" s="674"/>
      <c r="AD208" s="674"/>
      <c r="AE208" s="674"/>
      <c r="AF208" s="674"/>
      <c r="AG208" s="674"/>
      <c r="AH208" s="674"/>
      <c r="AI208" s="674"/>
      <c r="AJ208" s="674"/>
      <c r="AK208" s="674"/>
      <c r="AL208" s="674">
        <v>500</v>
      </c>
      <c r="AM208" s="674"/>
      <c r="AN208" s="674"/>
      <c r="AO208" s="674"/>
      <c r="AP208" s="674"/>
      <c r="AQ208" s="674"/>
    </row>
    <row r="209" spans="2:44">
      <c r="B209" s="818"/>
      <c r="C209" s="685"/>
      <c r="D209" s="672" t="str">
        <f>D166</f>
        <v>Development of data handling platform analytical software</v>
      </c>
      <c r="E209" s="673"/>
      <c r="F209" s="673"/>
      <c r="G209" s="674"/>
      <c r="H209" s="674"/>
      <c r="I209" s="674"/>
      <c r="J209" s="674"/>
      <c r="K209" s="674"/>
      <c r="L209" s="674"/>
      <c r="M209" s="674"/>
      <c r="N209" s="674"/>
      <c r="O209" s="674"/>
      <c r="P209" s="674"/>
      <c r="Q209" s="674"/>
      <c r="R209" s="674"/>
      <c r="S209" s="674"/>
      <c r="T209" s="674">
        <v>500</v>
      </c>
      <c r="U209" s="674"/>
      <c r="V209" s="674"/>
      <c r="W209" s="674"/>
      <c r="X209" s="674"/>
      <c r="Y209" s="674"/>
      <c r="Z209" s="674"/>
      <c r="AA209" s="674"/>
      <c r="AB209" s="674"/>
      <c r="AC209" s="674">
        <v>100</v>
      </c>
      <c r="AD209" s="674"/>
      <c r="AE209" s="674"/>
      <c r="AF209" s="674"/>
      <c r="AG209" s="674"/>
      <c r="AH209" s="674"/>
      <c r="AI209" s="674"/>
      <c r="AJ209" s="674"/>
      <c r="AK209" s="674"/>
      <c r="AL209" s="674">
        <v>500</v>
      </c>
      <c r="AM209" s="674"/>
      <c r="AN209" s="674"/>
      <c r="AO209" s="674"/>
      <c r="AP209" s="674"/>
      <c r="AQ209" s="674"/>
    </row>
    <row r="210" spans="2:44" ht="28.5">
      <c r="B210" s="818"/>
      <c r="C210" s="685"/>
      <c r="D210" s="672" t="str">
        <f>D167</f>
        <v>Procurement of optimization tool software licence for SCED and SCUC in the State along with resource adequacy tool</v>
      </c>
      <c r="E210" s="673"/>
      <c r="F210" s="673"/>
      <c r="G210" s="674"/>
      <c r="H210" s="674"/>
      <c r="I210" s="674"/>
      <c r="J210" s="674"/>
      <c r="K210" s="674"/>
      <c r="L210" s="674"/>
      <c r="M210" s="674"/>
      <c r="N210" s="674"/>
      <c r="O210" s="674"/>
      <c r="P210" s="674"/>
      <c r="Q210" s="674"/>
      <c r="R210" s="674"/>
      <c r="S210" s="674"/>
      <c r="T210" s="674">
        <v>50</v>
      </c>
      <c r="U210" s="674"/>
      <c r="V210" s="674"/>
      <c r="W210" s="674"/>
      <c r="X210" s="674"/>
      <c r="Y210" s="674"/>
      <c r="Z210" s="674"/>
      <c r="AA210" s="674"/>
      <c r="AB210" s="674"/>
      <c r="AC210" s="674">
        <v>100</v>
      </c>
      <c r="AD210" s="674"/>
      <c r="AE210" s="674"/>
      <c r="AF210" s="674"/>
      <c r="AG210" s="674"/>
      <c r="AH210" s="674"/>
      <c r="AI210" s="674"/>
      <c r="AJ210" s="674"/>
      <c r="AK210" s="674"/>
      <c r="AL210" s="674">
        <v>50</v>
      </c>
      <c r="AM210" s="674"/>
      <c r="AN210" s="674"/>
      <c r="AO210" s="674"/>
      <c r="AP210" s="674"/>
      <c r="AQ210" s="674"/>
    </row>
    <row r="211" spans="2:44" ht="28.5">
      <c r="B211" s="818"/>
      <c r="C211" s="704"/>
      <c r="D211" s="672" t="s">
        <v>1746</v>
      </c>
      <c r="E211" s="673"/>
      <c r="F211" s="673"/>
      <c r="G211" s="674"/>
      <c r="H211" s="674"/>
      <c r="I211" s="674"/>
      <c r="J211" s="674"/>
      <c r="K211" s="674"/>
      <c r="L211" s="674"/>
      <c r="M211" s="674"/>
      <c r="N211" s="674"/>
      <c r="O211" s="674"/>
      <c r="P211" s="674"/>
      <c r="Q211" s="674"/>
      <c r="R211" s="674"/>
      <c r="S211" s="674"/>
      <c r="T211" s="674">
        <v>100</v>
      </c>
      <c r="U211" s="674"/>
      <c r="V211" s="674"/>
      <c r="W211" s="674"/>
      <c r="X211" s="674"/>
      <c r="Y211" s="674"/>
      <c r="Z211" s="674"/>
      <c r="AA211" s="674"/>
      <c r="AB211" s="674"/>
      <c r="AC211" s="674">
        <v>100</v>
      </c>
      <c r="AD211" s="674"/>
      <c r="AE211" s="674"/>
      <c r="AF211" s="674"/>
      <c r="AG211" s="674"/>
      <c r="AH211" s="674"/>
      <c r="AI211" s="674"/>
      <c r="AJ211" s="674"/>
      <c r="AK211" s="674"/>
      <c r="AL211" s="674">
        <v>100</v>
      </c>
      <c r="AM211" s="674"/>
      <c r="AN211" s="674"/>
      <c r="AO211" s="674"/>
      <c r="AP211" s="674"/>
      <c r="AQ211" s="674"/>
    </row>
    <row r="212" spans="2:44">
      <c r="B212" s="818"/>
      <c r="C212" s="813"/>
      <c r="D212" s="920" t="s">
        <v>1877</v>
      </c>
      <c r="E212" s="815"/>
      <c r="F212" s="815"/>
      <c r="G212" s="674"/>
      <c r="H212" s="674"/>
      <c r="I212" s="674"/>
      <c r="J212" s="674"/>
      <c r="K212" s="674"/>
      <c r="L212" s="674"/>
      <c r="M212" s="674"/>
      <c r="N212" s="674"/>
      <c r="O212" s="674"/>
      <c r="P212" s="674"/>
      <c r="Q212" s="674"/>
      <c r="R212" s="674"/>
      <c r="S212" s="674"/>
      <c r="T212" s="674">
        <v>100</v>
      </c>
      <c r="U212" s="674"/>
      <c r="V212" s="674"/>
      <c r="W212" s="674"/>
      <c r="X212" s="674"/>
      <c r="Y212" s="674"/>
      <c r="Z212" s="674"/>
      <c r="AA212" s="674"/>
      <c r="AB212" s="674"/>
      <c r="AC212" s="674">
        <v>100</v>
      </c>
      <c r="AD212" s="674"/>
      <c r="AE212" s="674"/>
      <c r="AF212" s="674"/>
      <c r="AG212" s="674"/>
      <c r="AH212" s="674"/>
      <c r="AI212" s="674"/>
      <c r="AJ212" s="674"/>
      <c r="AK212" s="674"/>
      <c r="AL212" s="674">
        <v>100</v>
      </c>
      <c r="AM212" s="674"/>
      <c r="AN212" s="674"/>
      <c r="AO212" s="674"/>
      <c r="AP212" s="674"/>
      <c r="AQ212" s="674"/>
    </row>
    <row r="213" spans="2:44" ht="42.75">
      <c r="B213" s="944"/>
      <c r="C213" s="945"/>
      <c r="D213" s="672" t="s">
        <v>1873</v>
      </c>
      <c r="E213" s="673"/>
      <c r="F213" s="673"/>
      <c r="G213" s="674"/>
      <c r="H213" s="674"/>
      <c r="I213" s="674"/>
      <c r="J213" s="674"/>
      <c r="K213" s="674"/>
      <c r="L213" s="674"/>
      <c r="M213" s="674"/>
      <c r="N213" s="674"/>
      <c r="O213" s="674"/>
      <c r="P213" s="674"/>
      <c r="Q213" s="674"/>
      <c r="R213" s="674"/>
      <c r="S213" s="674"/>
      <c r="T213" s="674">
        <v>383</v>
      </c>
      <c r="U213" s="674"/>
      <c r="V213" s="674"/>
      <c r="W213" s="674"/>
      <c r="X213" s="674"/>
      <c r="Y213" s="674"/>
      <c r="Z213" s="674"/>
      <c r="AA213" s="674"/>
      <c r="AB213" s="674"/>
      <c r="AC213" s="863">
        <v>0.5</v>
      </c>
      <c r="AD213" s="674"/>
      <c r="AE213" s="674"/>
      <c r="AF213" s="674"/>
      <c r="AG213" s="674"/>
      <c r="AH213" s="674"/>
      <c r="AI213" s="674"/>
      <c r="AJ213" s="674"/>
      <c r="AK213" s="674"/>
      <c r="AL213" s="674">
        <v>383</v>
      </c>
      <c r="AM213" s="674"/>
      <c r="AN213" s="674"/>
      <c r="AO213" s="674"/>
      <c r="AP213" s="674"/>
      <c r="AQ213" s="674"/>
    </row>
    <row r="214" spans="2:44">
      <c r="B214" s="818"/>
      <c r="C214" s="704" t="s">
        <v>280</v>
      </c>
      <c r="D214" s="672"/>
      <c r="E214" s="673"/>
      <c r="F214" s="673"/>
      <c r="G214" s="674"/>
      <c r="H214" s="674"/>
      <c r="I214" s="674"/>
      <c r="J214" s="674"/>
      <c r="K214" s="674"/>
      <c r="L214" s="674"/>
      <c r="M214" s="674"/>
      <c r="N214" s="674"/>
      <c r="O214" s="674"/>
      <c r="P214" s="674"/>
      <c r="Q214" s="674"/>
      <c r="R214" s="674"/>
      <c r="S214" s="674"/>
      <c r="T214" s="674"/>
      <c r="U214" s="674"/>
      <c r="V214" s="674"/>
      <c r="W214" s="674"/>
      <c r="X214" s="674"/>
      <c r="Y214" s="674"/>
      <c r="Z214" s="674"/>
      <c r="AA214" s="674"/>
      <c r="AB214" s="674"/>
      <c r="AC214" s="674"/>
      <c r="AD214" s="674"/>
      <c r="AE214" s="674"/>
      <c r="AF214" s="674"/>
      <c r="AG214" s="674"/>
      <c r="AH214" s="674"/>
      <c r="AI214" s="674"/>
      <c r="AJ214" s="674"/>
      <c r="AK214" s="674"/>
      <c r="AL214" s="674"/>
      <c r="AM214" s="674"/>
      <c r="AN214" s="674"/>
      <c r="AO214" s="674"/>
      <c r="AP214" s="674"/>
      <c r="AQ214" s="674"/>
    </row>
    <row r="215" spans="2:44" s="709" customFormat="1">
      <c r="B215" s="876"/>
      <c r="C215" s="710"/>
      <c r="D215" s="914" t="s">
        <v>1739</v>
      </c>
      <c r="E215" s="878"/>
      <c r="F215" s="878"/>
      <c r="G215" s="875"/>
      <c r="H215" s="875"/>
      <c r="I215" s="875"/>
      <c r="J215" s="875"/>
      <c r="K215" s="875"/>
      <c r="L215" s="875"/>
      <c r="M215" s="875"/>
      <c r="N215" s="875"/>
      <c r="O215" s="875"/>
      <c r="P215" s="875"/>
      <c r="Q215" s="875"/>
      <c r="R215" s="875"/>
      <c r="S215" s="875"/>
      <c r="T215" s="922">
        <v>25</v>
      </c>
      <c r="U215" s="875"/>
      <c r="V215" s="875"/>
      <c r="W215" s="875"/>
      <c r="X215" s="875"/>
      <c r="Y215" s="875"/>
      <c r="Z215" s="875"/>
      <c r="AA215" s="875"/>
      <c r="AB215" s="875"/>
      <c r="AC215" s="877">
        <v>1</v>
      </c>
      <c r="AD215" s="875"/>
      <c r="AE215" s="875"/>
      <c r="AF215" s="875"/>
      <c r="AG215" s="875"/>
      <c r="AH215" s="875"/>
      <c r="AI215" s="875"/>
      <c r="AJ215" s="875"/>
      <c r="AK215" s="875"/>
      <c r="AL215" s="875">
        <v>25</v>
      </c>
      <c r="AM215" s="875"/>
      <c r="AN215" s="875"/>
      <c r="AO215" s="875"/>
      <c r="AP215" s="875"/>
      <c r="AQ215" s="875"/>
    </row>
    <row r="216" spans="2:44">
      <c r="B216" s="818"/>
      <c r="C216" s="704"/>
      <c r="D216" s="672" t="s">
        <v>1767</v>
      </c>
      <c r="E216" s="673"/>
      <c r="F216" s="673"/>
      <c r="G216" s="674"/>
      <c r="H216" s="674"/>
      <c r="I216" s="674"/>
      <c r="J216" s="674"/>
      <c r="K216" s="674"/>
      <c r="L216" s="674"/>
      <c r="M216" s="674"/>
      <c r="N216" s="674"/>
      <c r="O216" s="674"/>
      <c r="P216" s="674"/>
      <c r="Q216" s="674"/>
      <c r="R216" s="674"/>
      <c r="S216" s="674"/>
      <c r="T216" s="674">
        <v>10</v>
      </c>
      <c r="U216" s="674"/>
      <c r="V216" s="674"/>
      <c r="W216" s="674"/>
      <c r="X216" s="674"/>
      <c r="Y216" s="674"/>
      <c r="Z216" s="674"/>
      <c r="AA216" s="674"/>
      <c r="AB216" s="674"/>
      <c r="AC216" s="863">
        <v>1</v>
      </c>
      <c r="AD216" s="674"/>
      <c r="AE216" s="674"/>
      <c r="AF216" s="674"/>
      <c r="AG216" s="674"/>
      <c r="AH216" s="674"/>
      <c r="AI216" s="674"/>
      <c r="AJ216" s="674"/>
      <c r="AK216" s="674"/>
      <c r="AL216" s="674">
        <v>10</v>
      </c>
      <c r="AM216" s="674"/>
      <c r="AN216" s="674"/>
      <c r="AO216" s="674"/>
      <c r="AP216" s="674"/>
      <c r="AQ216" s="674"/>
    </row>
    <row r="217" spans="2:44">
      <c r="B217" s="818"/>
      <c r="C217" s="704"/>
      <c r="D217" s="143" t="s">
        <v>1768</v>
      </c>
      <c r="E217" s="673"/>
      <c r="F217" s="673"/>
      <c r="G217" s="674"/>
      <c r="H217" s="674"/>
      <c r="I217" s="674"/>
      <c r="J217" s="674"/>
      <c r="K217" s="674"/>
      <c r="L217" s="674"/>
      <c r="M217" s="674"/>
      <c r="N217" s="674"/>
      <c r="O217" s="674"/>
      <c r="P217" s="674"/>
      <c r="Q217" s="674"/>
      <c r="R217" s="674"/>
      <c r="S217" s="674"/>
      <c r="T217" s="674">
        <v>25</v>
      </c>
      <c r="U217" s="674"/>
      <c r="V217" s="674"/>
      <c r="W217" s="674"/>
      <c r="X217" s="674"/>
      <c r="Y217" s="674"/>
      <c r="Z217" s="674"/>
      <c r="AA217" s="674"/>
      <c r="AB217" s="674"/>
      <c r="AC217" s="863">
        <v>0.5</v>
      </c>
      <c r="AD217" s="674"/>
      <c r="AE217" s="674"/>
      <c r="AF217" s="674"/>
      <c r="AG217" s="674"/>
      <c r="AH217" s="674"/>
      <c r="AI217" s="674"/>
      <c r="AJ217" s="674"/>
      <c r="AK217" s="674"/>
      <c r="AL217" s="674">
        <v>25</v>
      </c>
      <c r="AM217" s="674"/>
      <c r="AN217" s="674"/>
      <c r="AO217" s="674"/>
      <c r="AP217" s="674"/>
      <c r="AQ217" s="674"/>
    </row>
    <row r="218" spans="2:44">
      <c r="B218" s="818"/>
      <c r="C218" s="704"/>
      <c r="D218" s="672" t="s">
        <v>1769</v>
      </c>
      <c r="E218" s="673"/>
      <c r="F218" s="673"/>
      <c r="G218" s="674"/>
      <c r="H218" s="674"/>
      <c r="I218" s="674"/>
      <c r="J218" s="674"/>
      <c r="K218" s="674"/>
      <c r="L218" s="674"/>
      <c r="M218" s="674"/>
      <c r="N218" s="674"/>
      <c r="O218" s="674"/>
      <c r="P218" s="674"/>
      <c r="Q218" s="674"/>
      <c r="R218" s="674"/>
      <c r="S218" s="674"/>
      <c r="T218" s="674">
        <v>50</v>
      </c>
      <c r="U218" s="674"/>
      <c r="V218" s="674"/>
      <c r="W218" s="674"/>
      <c r="X218" s="674"/>
      <c r="Y218" s="674"/>
      <c r="Z218" s="674"/>
      <c r="AA218" s="674"/>
      <c r="AB218" s="674"/>
      <c r="AC218" s="863">
        <v>1</v>
      </c>
      <c r="AD218" s="674"/>
      <c r="AE218" s="674"/>
      <c r="AF218" s="674"/>
      <c r="AG218" s="674"/>
      <c r="AH218" s="674"/>
      <c r="AI218" s="674"/>
      <c r="AJ218" s="674"/>
      <c r="AK218" s="674"/>
      <c r="AL218" s="674">
        <v>50</v>
      </c>
      <c r="AM218" s="674"/>
      <c r="AN218" s="674"/>
      <c r="AO218" s="674"/>
      <c r="AP218" s="674"/>
      <c r="AQ218" s="674"/>
    </row>
    <row r="219" spans="2:44">
      <c r="B219" s="818"/>
      <c r="C219" s="704"/>
      <c r="D219" s="672" t="s">
        <v>1770</v>
      </c>
      <c r="E219" s="673"/>
      <c r="F219" s="673"/>
      <c r="G219" s="674"/>
      <c r="H219" s="674"/>
      <c r="I219" s="674"/>
      <c r="J219" s="674"/>
      <c r="K219" s="674"/>
      <c r="L219" s="674"/>
      <c r="M219" s="674"/>
      <c r="N219" s="674"/>
      <c r="O219" s="674"/>
      <c r="P219" s="674"/>
      <c r="Q219" s="674"/>
      <c r="R219" s="674"/>
      <c r="S219" s="674"/>
      <c r="T219" s="674">
        <v>0</v>
      </c>
      <c r="U219" s="674"/>
      <c r="V219" s="674"/>
      <c r="W219" s="674"/>
      <c r="X219" s="674"/>
      <c r="Y219" s="674"/>
      <c r="Z219" s="674"/>
      <c r="AA219" s="674"/>
      <c r="AB219" s="674"/>
      <c r="AC219" s="863">
        <v>0</v>
      </c>
      <c r="AD219" s="674"/>
      <c r="AE219" s="674"/>
      <c r="AF219" s="674"/>
      <c r="AG219" s="674"/>
      <c r="AH219" s="674"/>
      <c r="AI219" s="674"/>
      <c r="AJ219" s="674"/>
      <c r="AK219" s="674"/>
      <c r="AL219" s="674">
        <v>0</v>
      </c>
      <c r="AM219" s="674"/>
      <c r="AN219" s="674"/>
      <c r="AO219" s="674"/>
      <c r="AP219" s="674"/>
      <c r="AQ219" s="674"/>
    </row>
    <row r="220" spans="2:44" ht="45">
      <c r="B220" s="818"/>
      <c r="C220" s="704"/>
      <c r="D220" s="672" t="s">
        <v>1771</v>
      </c>
      <c r="E220" s="792" t="s">
        <v>1776</v>
      </c>
      <c r="F220" s="673"/>
      <c r="G220" s="674"/>
      <c r="H220" s="674"/>
      <c r="I220" s="674"/>
      <c r="J220" s="674"/>
      <c r="K220" s="674"/>
      <c r="L220" s="674"/>
      <c r="M220" s="674"/>
      <c r="N220" s="674"/>
      <c r="O220" s="674"/>
      <c r="P220" s="674"/>
      <c r="Q220" s="674"/>
      <c r="R220" s="674"/>
      <c r="S220" s="674"/>
      <c r="T220" s="674">
        <v>50</v>
      </c>
      <c r="U220" s="674"/>
      <c r="V220" s="674"/>
      <c r="W220" s="674"/>
      <c r="X220" s="674"/>
      <c r="Y220" s="674"/>
      <c r="Z220" s="674"/>
      <c r="AA220" s="674"/>
      <c r="AB220" s="674"/>
      <c r="AC220" s="863">
        <v>1</v>
      </c>
      <c r="AD220" s="674"/>
      <c r="AE220" s="674"/>
      <c r="AF220" s="674"/>
      <c r="AG220" s="674"/>
      <c r="AH220" s="674"/>
      <c r="AI220" s="674"/>
      <c r="AJ220" s="674"/>
      <c r="AK220" s="674"/>
      <c r="AL220" s="674">
        <v>50</v>
      </c>
      <c r="AN220" s="674"/>
      <c r="AO220" s="674"/>
      <c r="AP220" s="674"/>
      <c r="AQ220" s="674"/>
      <c r="AR220" s="673"/>
    </row>
    <row r="221" spans="2:44" ht="28.5">
      <c r="B221" s="818"/>
      <c r="C221" s="704"/>
      <c r="D221" s="143" t="s">
        <v>1745</v>
      </c>
      <c r="E221" s="673"/>
      <c r="F221" s="673"/>
      <c r="G221" s="674"/>
      <c r="H221" s="674"/>
      <c r="I221" s="674"/>
      <c r="J221" s="674"/>
      <c r="K221" s="674"/>
      <c r="L221" s="674"/>
      <c r="M221" s="674"/>
      <c r="N221" s="674"/>
      <c r="O221" s="674"/>
      <c r="P221" s="674"/>
      <c r="Q221" s="674"/>
      <c r="R221" s="674"/>
      <c r="S221" s="674"/>
      <c r="T221" s="674">
        <v>50</v>
      </c>
      <c r="U221" s="674"/>
      <c r="V221" s="674"/>
      <c r="W221" s="674"/>
      <c r="X221" s="674"/>
      <c r="Y221" s="674"/>
      <c r="Z221" s="674"/>
      <c r="AA221" s="674"/>
      <c r="AB221" s="674"/>
      <c r="AC221" s="674">
        <v>100</v>
      </c>
      <c r="AD221" s="674"/>
      <c r="AE221" s="674"/>
      <c r="AF221" s="674"/>
      <c r="AG221" s="674"/>
      <c r="AH221" s="674"/>
      <c r="AI221" s="674"/>
      <c r="AJ221" s="674"/>
      <c r="AK221" s="674"/>
      <c r="AL221" s="674">
        <v>50</v>
      </c>
      <c r="AM221" s="674"/>
      <c r="AN221" s="674"/>
      <c r="AO221" s="674"/>
      <c r="AP221" s="674"/>
      <c r="AQ221" s="674"/>
    </row>
    <row r="222" spans="2:44" ht="28.5">
      <c r="B222" s="818"/>
      <c r="C222" s="704"/>
      <c r="D222" s="143" t="s">
        <v>1747</v>
      </c>
      <c r="E222" s="673"/>
      <c r="F222" s="673"/>
      <c r="G222" s="674"/>
      <c r="H222" s="674"/>
      <c r="I222" s="674"/>
      <c r="J222" s="674"/>
      <c r="K222" s="674"/>
      <c r="L222" s="674"/>
      <c r="M222" s="674"/>
      <c r="N222" s="674"/>
      <c r="O222" s="674"/>
      <c r="P222" s="674"/>
      <c r="Q222" s="674"/>
      <c r="R222" s="674"/>
      <c r="S222" s="674"/>
      <c r="T222" s="674">
        <v>80</v>
      </c>
      <c r="U222" s="674"/>
      <c r="V222" s="674"/>
      <c r="W222" s="674"/>
      <c r="X222" s="674"/>
      <c r="Y222" s="674"/>
      <c r="Z222" s="674"/>
      <c r="AA222" s="674"/>
      <c r="AB222" s="674"/>
      <c r="AC222" s="863">
        <v>1</v>
      </c>
      <c r="AD222" s="674"/>
      <c r="AE222" s="674"/>
      <c r="AF222" s="674"/>
      <c r="AG222" s="674"/>
      <c r="AH222" s="674"/>
      <c r="AI222" s="674"/>
      <c r="AJ222" s="674"/>
      <c r="AK222" s="674"/>
      <c r="AL222" s="674">
        <v>80</v>
      </c>
      <c r="AM222" s="674"/>
      <c r="AN222" s="674"/>
      <c r="AO222" s="674"/>
      <c r="AP222" s="674"/>
      <c r="AQ222" s="674"/>
    </row>
    <row r="223" spans="2:44">
      <c r="B223" s="818"/>
      <c r="C223" s="685" t="s">
        <v>278</v>
      </c>
      <c r="D223" s="672" t="s">
        <v>1775</v>
      </c>
      <c r="E223" s="673"/>
      <c r="F223" s="673"/>
      <c r="G223" s="674"/>
      <c r="H223" s="674"/>
      <c r="I223" s="674"/>
      <c r="J223" s="674"/>
      <c r="K223" s="674"/>
      <c r="L223" s="674"/>
      <c r="M223" s="674"/>
      <c r="N223" s="674"/>
      <c r="O223" s="674"/>
      <c r="P223" s="674"/>
      <c r="Q223" s="674"/>
      <c r="R223" s="674"/>
      <c r="S223" s="674"/>
      <c r="T223" s="674">
        <v>0</v>
      </c>
      <c r="U223" s="674"/>
      <c r="V223" s="674"/>
      <c r="W223" s="674"/>
      <c r="X223" s="674"/>
      <c r="Y223" s="674"/>
      <c r="Z223" s="674"/>
      <c r="AA223" s="674"/>
      <c r="AB223" s="674"/>
      <c r="AC223" s="863">
        <v>0</v>
      </c>
      <c r="AD223" s="674"/>
      <c r="AE223" s="674"/>
      <c r="AF223" s="674"/>
      <c r="AG223" s="674"/>
      <c r="AH223" s="674"/>
      <c r="AI223" s="674"/>
      <c r="AJ223" s="674"/>
      <c r="AK223" s="674"/>
      <c r="AL223" s="674">
        <v>0</v>
      </c>
      <c r="AM223" s="674"/>
      <c r="AN223" s="674"/>
      <c r="AO223" s="674"/>
      <c r="AP223" s="674"/>
      <c r="AQ223" s="674"/>
    </row>
    <row r="224" spans="2:44">
      <c r="B224" s="818"/>
      <c r="C224" s="695"/>
      <c r="D224" s="791" t="s">
        <v>1776</v>
      </c>
      <c r="E224" s="697"/>
      <c r="F224" s="697"/>
      <c r="G224" s="674"/>
      <c r="H224" s="674"/>
      <c r="I224" s="674"/>
      <c r="J224" s="674"/>
      <c r="K224" s="674"/>
      <c r="L224" s="674"/>
      <c r="M224" s="674"/>
      <c r="N224" s="674"/>
      <c r="O224" s="674"/>
      <c r="P224" s="674"/>
      <c r="Q224" s="674"/>
      <c r="R224" s="674"/>
      <c r="S224" s="674"/>
      <c r="T224" s="674">
        <v>50</v>
      </c>
      <c r="U224" s="674"/>
      <c r="V224" s="674"/>
      <c r="W224" s="674"/>
      <c r="X224" s="674"/>
      <c r="Y224" s="674"/>
      <c r="Z224" s="674"/>
      <c r="AA224" s="674"/>
      <c r="AB224" s="674"/>
      <c r="AC224" s="863">
        <v>1</v>
      </c>
      <c r="AD224" s="674"/>
      <c r="AE224" s="674"/>
      <c r="AF224" s="674"/>
      <c r="AG224" s="674"/>
      <c r="AH224" s="674"/>
      <c r="AI224" s="674"/>
      <c r="AJ224" s="674"/>
      <c r="AK224" s="674"/>
      <c r="AL224" s="674">
        <v>50</v>
      </c>
      <c r="AM224" s="674"/>
      <c r="AN224" s="674"/>
      <c r="AO224" s="674"/>
      <c r="AP224" s="674"/>
      <c r="AQ224" s="674"/>
    </row>
    <row r="225" spans="2:44" ht="30.75" thickBot="1">
      <c r="B225" s="818"/>
      <c r="C225" s="748" t="s">
        <v>278</v>
      </c>
      <c r="D225" s="918" t="s">
        <v>1866</v>
      </c>
      <c r="E225" s="750"/>
      <c r="F225" s="750"/>
      <c r="G225" s="674"/>
      <c r="H225" s="674"/>
      <c r="I225" s="674"/>
      <c r="J225" s="674"/>
      <c r="K225" s="674"/>
      <c r="L225" s="674"/>
      <c r="M225" s="674"/>
      <c r="N225" s="674"/>
      <c r="O225" s="674"/>
      <c r="P225" s="674"/>
      <c r="Q225" s="674"/>
      <c r="R225" s="674"/>
      <c r="S225" s="674"/>
      <c r="T225" s="674">
        <v>20</v>
      </c>
      <c r="U225" s="674"/>
      <c r="V225" s="674"/>
      <c r="W225" s="674"/>
      <c r="X225" s="674"/>
      <c r="Y225" s="674"/>
      <c r="Z225" s="674"/>
      <c r="AA225" s="674"/>
      <c r="AB225" s="674"/>
      <c r="AC225" s="674">
        <v>100</v>
      </c>
      <c r="AD225" s="674"/>
      <c r="AE225" s="674"/>
      <c r="AF225" s="674"/>
      <c r="AG225" s="674"/>
      <c r="AH225" s="674"/>
      <c r="AI225" s="674"/>
      <c r="AJ225" s="674"/>
      <c r="AK225" s="674"/>
      <c r="AL225" s="674">
        <v>0</v>
      </c>
      <c r="AM225" s="674"/>
      <c r="AN225" s="674"/>
      <c r="AO225" s="674"/>
      <c r="AP225" s="674"/>
      <c r="AQ225" s="674"/>
    </row>
    <row r="226" spans="2:44">
      <c r="B226" s="818"/>
      <c r="C226" s="755"/>
      <c r="D226" s="934" t="str">
        <f>D179</f>
        <v>ALDC building premises development Civil</v>
      </c>
      <c r="E226" s="757"/>
      <c r="F226" s="757"/>
      <c r="G226" s="674"/>
      <c r="H226" s="674"/>
      <c r="I226" s="674"/>
      <c r="J226" s="674"/>
      <c r="K226" s="674"/>
      <c r="L226" s="674"/>
      <c r="M226" s="674"/>
      <c r="N226" s="674"/>
      <c r="O226" s="674"/>
      <c r="P226" s="674"/>
      <c r="Q226" s="674"/>
      <c r="R226" s="674"/>
      <c r="S226" s="674"/>
      <c r="T226" s="674">
        <v>10</v>
      </c>
      <c r="U226" s="674"/>
      <c r="V226" s="674"/>
      <c r="W226" s="674"/>
      <c r="X226" s="674"/>
      <c r="Y226" s="674"/>
      <c r="Z226" s="674"/>
      <c r="AA226" s="674"/>
      <c r="AB226" s="674"/>
      <c r="AC226" s="674">
        <v>100</v>
      </c>
      <c r="AD226" s="674"/>
      <c r="AE226" s="674"/>
      <c r="AF226" s="674"/>
      <c r="AG226" s="674"/>
      <c r="AH226" s="674"/>
      <c r="AI226" s="674"/>
      <c r="AJ226" s="674"/>
      <c r="AK226" s="674"/>
      <c r="AL226" s="674">
        <v>10</v>
      </c>
      <c r="AM226" s="674"/>
      <c r="AN226" s="674"/>
      <c r="AO226" s="674"/>
      <c r="AP226" s="674"/>
      <c r="AQ226" s="674"/>
    </row>
    <row r="227" spans="2:44" ht="15.75" thickBot="1">
      <c r="B227" s="818"/>
      <c r="C227" s="755"/>
      <c r="D227" s="920" t="s">
        <v>1871</v>
      </c>
      <c r="E227" s="757"/>
      <c r="F227" s="757"/>
      <c r="G227" s="674"/>
      <c r="H227" s="674"/>
      <c r="I227" s="674"/>
      <c r="J227" s="674"/>
      <c r="K227" s="674"/>
      <c r="L227" s="674"/>
      <c r="M227" s="674"/>
      <c r="N227" s="674"/>
      <c r="O227" s="674"/>
      <c r="P227" s="674"/>
      <c r="Q227" s="674"/>
      <c r="R227" s="674"/>
      <c r="S227" s="674"/>
      <c r="T227" s="674">
        <v>10</v>
      </c>
      <c r="U227" s="674"/>
      <c r="V227" s="674"/>
      <c r="W227" s="674"/>
      <c r="X227" s="674"/>
      <c r="Y227" s="674"/>
      <c r="Z227" s="674"/>
      <c r="AA227" s="674"/>
      <c r="AB227" s="674"/>
      <c r="AC227" s="674">
        <v>100</v>
      </c>
      <c r="AD227" s="674"/>
      <c r="AE227" s="674"/>
      <c r="AF227" s="674"/>
      <c r="AG227" s="674"/>
      <c r="AH227" s="674"/>
      <c r="AI227" s="674"/>
      <c r="AJ227" s="674"/>
      <c r="AK227" s="674"/>
      <c r="AL227" s="674">
        <v>10</v>
      </c>
      <c r="AM227" s="674"/>
      <c r="AN227" s="674"/>
      <c r="AO227" s="674"/>
      <c r="AP227" s="674"/>
      <c r="AQ227" s="674"/>
    </row>
    <row r="228" spans="2:44">
      <c r="B228" s="818"/>
      <c r="C228" s="836"/>
      <c r="D228" s="920" t="s">
        <v>1869</v>
      </c>
      <c r="E228" s="668"/>
      <c r="F228" s="668"/>
      <c r="G228" s="674"/>
      <c r="H228" s="674"/>
      <c r="I228" s="674"/>
      <c r="J228" s="674"/>
      <c r="K228" s="674"/>
      <c r="L228" s="674"/>
      <c r="M228" s="674"/>
      <c r="N228" s="674"/>
      <c r="O228" s="674"/>
      <c r="P228" s="674"/>
      <c r="Q228" s="674"/>
      <c r="R228" s="674"/>
      <c r="S228" s="674"/>
      <c r="T228" s="674">
        <v>20</v>
      </c>
      <c r="U228" s="674"/>
      <c r="V228" s="674"/>
      <c r="W228" s="674"/>
      <c r="X228" s="674"/>
      <c r="Y228" s="674"/>
      <c r="Z228" s="674"/>
      <c r="AA228" s="674"/>
      <c r="AB228" s="674"/>
      <c r="AC228" s="674">
        <v>100</v>
      </c>
      <c r="AD228" s="674"/>
      <c r="AE228" s="674"/>
      <c r="AF228" s="674"/>
      <c r="AG228" s="674"/>
      <c r="AH228" s="674"/>
      <c r="AI228" s="674"/>
      <c r="AJ228" s="674"/>
      <c r="AK228" s="674"/>
      <c r="AL228" s="674">
        <v>20</v>
      </c>
      <c r="AM228" s="674"/>
      <c r="AN228" s="674"/>
      <c r="AO228" s="674"/>
      <c r="AP228" s="674"/>
      <c r="AQ228" s="674"/>
    </row>
    <row r="229" spans="2:44">
      <c r="B229" s="818"/>
      <c r="C229" s="813"/>
      <c r="D229" s="920" t="str">
        <f>D184</f>
        <v>IT ALDC</v>
      </c>
      <c r="E229" s="815"/>
      <c r="F229" s="815"/>
      <c r="G229" s="674"/>
      <c r="H229" s="674"/>
      <c r="I229" s="674"/>
      <c r="J229" s="674"/>
      <c r="K229" s="674"/>
      <c r="L229" s="674"/>
      <c r="M229" s="674"/>
      <c r="N229" s="674"/>
      <c r="O229" s="674"/>
      <c r="P229" s="674"/>
      <c r="Q229" s="674"/>
      <c r="R229" s="674"/>
      <c r="S229" s="674"/>
      <c r="T229" s="674">
        <v>20</v>
      </c>
      <c r="U229" s="674"/>
      <c r="V229" s="674"/>
      <c r="W229" s="674"/>
      <c r="X229" s="674"/>
      <c r="Y229" s="674"/>
      <c r="Z229" s="674"/>
      <c r="AA229" s="674"/>
      <c r="AB229" s="674"/>
      <c r="AC229" s="674">
        <v>100</v>
      </c>
      <c r="AD229" s="674"/>
      <c r="AE229" s="674"/>
      <c r="AF229" s="674"/>
      <c r="AG229" s="674"/>
      <c r="AH229" s="674"/>
      <c r="AI229" s="674"/>
      <c r="AJ229" s="674"/>
      <c r="AK229" s="674"/>
      <c r="AL229" s="674">
        <v>20</v>
      </c>
      <c r="AM229" s="674"/>
      <c r="AN229" s="674"/>
      <c r="AO229" s="674"/>
      <c r="AP229" s="674"/>
      <c r="AQ229" s="674"/>
    </row>
    <row r="230" spans="2:44">
      <c r="B230" s="818"/>
      <c r="C230" s="671" t="s">
        <v>72</v>
      </c>
      <c r="D230" s="672"/>
      <c r="E230" s="673"/>
      <c r="F230" s="673"/>
      <c r="G230" s="674"/>
      <c r="H230" s="674"/>
      <c r="I230" s="674"/>
      <c r="J230" s="674"/>
      <c r="K230" s="674"/>
      <c r="L230" s="674"/>
      <c r="M230" s="674"/>
      <c r="N230" s="674"/>
      <c r="O230" s="674"/>
      <c r="P230" s="674"/>
      <c r="Q230" s="674"/>
      <c r="R230" s="674"/>
      <c r="S230" s="674"/>
      <c r="T230" s="674"/>
      <c r="U230" s="674"/>
      <c r="V230" s="674"/>
      <c r="W230" s="674"/>
      <c r="X230" s="674"/>
      <c r="Y230" s="674"/>
      <c r="Z230" s="674"/>
      <c r="AA230" s="674"/>
      <c r="AB230" s="674"/>
      <c r="AC230" s="674"/>
      <c r="AD230" s="674"/>
      <c r="AE230" s="674"/>
      <c r="AF230" s="674"/>
      <c r="AG230" s="674"/>
      <c r="AH230" s="674"/>
      <c r="AI230" s="674"/>
      <c r="AJ230" s="674"/>
      <c r="AK230" s="674"/>
      <c r="AL230" s="674"/>
      <c r="AM230" s="674"/>
      <c r="AN230" s="674"/>
      <c r="AO230" s="674"/>
      <c r="AP230" s="674"/>
      <c r="AQ230" s="674"/>
    </row>
    <row r="231" spans="2:44">
      <c r="B231" s="818"/>
      <c r="C231" s="671"/>
      <c r="D231" s="143"/>
      <c r="E231" s="673"/>
      <c r="F231" s="673"/>
      <c r="G231" s="674"/>
      <c r="H231" s="674"/>
      <c r="I231" s="674"/>
      <c r="J231" s="674"/>
      <c r="K231" s="674"/>
      <c r="L231" s="674"/>
      <c r="M231" s="674"/>
      <c r="N231" s="674"/>
      <c r="O231" s="674"/>
      <c r="P231" s="674"/>
      <c r="Q231" s="674"/>
      <c r="R231" s="674"/>
      <c r="S231" s="674"/>
      <c r="T231" s="674"/>
      <c r="U231" s="674"/>
      <c r="V231" s="674"/>
      <c r="W231" s="674"/>
      <c r="X231" s="674"/>
      <c r="Y231" s="674"/>
      <c r="Z231" s="674"/>
      <c r="AA231" s="674"/>
      <c r="AB231" s="674"/>
      <c r="AC231" s="674"/>
      <c r="AD231" s="674"/>
      <c r="AE231" s="674"/>
      <c r="AF231" s="674"/>
      <c r="AG231" s="674"/>
      <c r="AH231" s="674"/>
      <c r="AI231" s="674"/>
      <c r="AJ231" s="674"/>
      <c r="AK231" s="674"/>
      <c r="AL231" s="674"/>
      <c r="AM231" s="674"/>
      <c r="AN231" s="674"/>
      <c r="AO231" s="674"/>
      <c r="AP231" s="674"/>
      <c r="AQ231" s="674"/>
    </row>
    <row r="232" spans="2:44">
      <c r="B232" s="818"/>
      <c r="C232" s="671" t="s">
        <v>1779</v>
      </c>
      <c r="D232" s="143"/>
      <c r="E232" s="673"/>
      <c r="F232" s="673"/>
      <c r="G232" s="674"/>
      <c r="H232" s="674"/>
      <c r="I232" s="674"/>
      <c r="J232" s="674"/>
      <c r="K232" s="674"/>
      <c r="L232" s="674"/>
      <c r="M232" s="674"/>
      <c r="N232" s="674"/>
      <c r="O232" s="674"/>
      <c r="P232" s="674"/>
      <c r="Q232" s="674"/>
      <c r="R232" s="674"/>
      <c r="S232" s="674"/>
      <c r="T232" s="674"/>
      <c r="U232" s="674"/>
      <c r="V232" s="674"/>
      <c r="W232" s="674"/>
      <c r="X232" s="674"/>
      <c r="Y232" s="674"/>
      <c r="Z232" s="674"/>
      <c r="AA232" s="674"/>
      <c r="AB232" s="674"/>
      <c r="AC232" s="674"/>
      <c r="AD232" s="674"/>
      <c r="AE232" s="674"/>
      <c r="AF232" s="674"/>
      <c r="AG232" s="674"/>
      <c r="AH232" s="674"/>
      <c r="AI232" s="674"/>
      <c r="AJ232" s="674"/>
      <c r="AK232" s="674"/>
      <c r="AL232" s="674"/>
      <c r="AM232" s="674"/>
      <c r="AN232" s="674"/>
      <c r="AO232" s="674"/>
      <c r="AP232" s="674"/>
      <c r="AQ232" s="674"/>
    </row>
    <row r="233" spans="2:44" ht="28.5">
      <c r="B233" s="818"/>
      <c r="C233" s="671"/>
      <c r="D233" s="672" t="s">
        <v>1760</v>
      </c>
      <c r="E233" s="673"/>
      <c r="F233" s="673"/>
      <c r="G233" s="674"/>
      <c r="H233" s="674"/>
      <c r="I233" s="674"/>
      <c r="J233" s="674"/>
      <c r="K233" s="674"/>
      <c r="L233" s="674"/>
      <c r="M233" s="674"/>
      <c r="N233" s="674"/>
      <c r="O233" s="674"/>
      <c r="P233" s="674"/>
      <c r="Q233" s="674"/>
      <c r="R233" s="674"/>
      <c r="S233" s="674"/>
      <c r="T233" s="674"/>
      <c r="U233" s="674">
        <v>2500</v>
      </c>
      <c r="V233" s="674"/>
      <c r="W233" s="674"/>
      <c r="X233" s="674"/>
      <c r="Y233" s="674"/>
      <c r="Z233" s="674"/>
      <c r="AA233" s="674"/>
      <c r="AB233" s="674"/>
      <c r="AC233" s="674"/>
      <c r="AD233" s="916">
        <v>0.33329999999999999</v>
      </c>
      <c r="AE233" s="674"/>
      <c r="AF233" s="674"/>
      <c r="AG233" s="674"/>
      <c r="AH233" s="674"/>
      <c r="AI233" s="674"/>
      <c r="AJ233" s="674"/>
      <c r="AK233" s="674"/>
      <c r="AL233" s="674"/>
      <c r="AM233" s="674">
        <v>2500</v>
      </c>
      <c r="AN233" s="674"/>
      <c r="AO233" s="674"/>
      <c r="AP233" s="674"/>
      <c r="AQ233" s="674"/>
    </row>
    <row r="234" spans="2:44">
      <c r="B234" s="818"/>
      <c r="C234" s="671"/>
      <c r="D234" s="672" t="s">
        <v>1781</v>
      </c>
      <c r="E234" s="673"/>
      <c r="F234" s="673"/>
      <c r="G234" s="674"/>
      <c r="H234" s="674"/>
      <c r="I234" s="674"/>
      <c r="J234" s="674"/>
      <c r="K234" s="674"/>
      <c r="L234" s="674"/>
      <c r="M234" s="674"/>
      <c r="N234" s="674"/>
      <c r="O234" s="674"/>
      <c r="P234" s="674"/>
      <c r="Q234" s="674"/>
      <c r="R234" s="674"/>
      <c r="S234" s="674"/>
      <c r="T234" s="674"/>
      <c r="U234" s="674">
        <v>300</v>
      </c>
      <c r="V234" s="674"/>
      <c r="W234" s="674"/>
      <c r="X234" s="674"/>
      <c r="Y234" s="674"/>
      <c r="Z234" s="674"/>
      <c r="AA234" s="674"/>
      <c r="AB234" s="674"/>
      <c r="AC234" s="674"/>
      <c r="AD234" s="916">
        <v>0.33329999999999999</v>
      </c>
      <c r="AE234" s="674"/>
      <c r="AF234" s="674"/>
      <c r="AG234" s="674"/>
      <c r="AH234" s="674"/>
      <c r="AI234" s="674"/>
      <c r="AJ234" s="674"/>
      <c r="AK234" s="674"/>
      <c r="AL234" s="674"/>
      <c r="AM234" s="674">
        <v>300</v>
      </c>
      <c r="AN234" s="674"/>
      <c r="AO234" s="674"/>
      <c r="AP234" s="674"/>
      <c r="AQ234" s="674"/>
    </row>
    <row r="235" spans="2:44" s="709" customFormat="1" ht="42.75">
      <c r="B235" s="876"/>
      <c r="C235" s="923"/>
      <c r="D235" s="672" t="s">
        <v>1878</v>
      </c>
      <c r="E235" s="878"/>
      <c r="F235" s="878"/>
      <c r="G235" s="875"/>
      <c r="H235" s="875"/>
      <c r="I235" s="875"/>
      <c r="J235" s="875"/>
      <c r="K235" s="875"/>
      <c r="L235" s="875"/>
      <c r="M235" s="875"/>
      <c r="N235" s="875"/>
      <c r="O235" s="875"/>
      <c r="P235" s="875"/>
      <c r="Q235" s="875"/>
      <c r="R235" s="875"/>
      <c r="S235" s="875"/>
      <c r="T235" s="875"/>
      <c r="U235" s="875">
        <v>600</v>
      </c>
      <c r="V235" s="875"/>
      <c r="W235" s="875"/>
      <c r="X235" s="875"/>
      <c r="Y235" s="875"/>
      <c r="Z235" s="875"/>
      <c r="AA235" s="875"/>
      <c r="AB235" s="875"/>
      <c r="AC235" s="875"/>
      <c r="AD235" s="924">
        <v>0.35289999999999999</v>
      </c>
      <c r="AE235" s="875"/>
      <c r="AF235" s="875"/>
      <c r="AG235" s="875"/>
      <c r="AH235" s="875"/>
      <c r="AI235" s="875"/>
      <c r="AJ235" s="875"/>
      <c r="AK235" s="875"/>
      <c r="AL235" s="875"/>
      <c r="AM235" s="875">
        <v>600</v>
      </c>
      <c r="AN235" s="875"/>
      <c r="AO235" s="875"/>
      <c r="AP235" s="875"/>
      <c r="AQ235" s="875"/>
    </row>
    <row r="236" spans="2:44" ht="28.5">
      <c r="B236" s="818"/>
      <c r="C236" s="671"/>
      <c r="D236" s="672" t="s">
        <v>1879</v>
      </c>
      <c r="E236" s="673"/>
      <c r="F236" s="673"/>
      <c r="G236" s="674"/>
      <c r="H236" s="674"/>
      <c r="I236" s="674"/>
      <c r="J236" s="674"/>
      <c r="K236" s="674"/>
      <c r="L236" s="674"/>
      <c r="M236" s="674"/>
      <c r="N236" s="674"/>
      <c r="O236" s="674"/>
      <c r="P236" s="674"/>
      <c r="Q236" s="674"/>
      <c r="R236" s="674"/>
      <c r="S236" s="674"/>
      <c r="T236" s="674"/>
      <c r="U236" s="674">
        <v>100</v>
      </c>
      <c r="V236" s="674"/>
      <c r="W236" s="674"/>
      <c r="X236" s="674"/>
      <c r="Y236" s="674"/>
      <c r="Z236" s="674"/>
      <c r="AA236" s="674"/>
      <c r="AB236" s="674"/>
      <c r="AC236" s="674"/>
      <c r="AD236" s="863">
        <v>1</v>
      </c>
      <c r="AE236" s="674"/>
      <c r="AF236" s="674"/>
      <c r="AG236" s="674"/>
      <c r="AH236" s="674"/>
      <c r="AI236" s="674"/>
      <c r="AJ236" s="674"/>
      <c r="AK236" s="674"/>
      <c r="AL236" s="674"/>
      <c r="AM236" s="674">
        <v>100</v>
      </c>
      <c r="AN236" s="674"/>
      <c r="AO236" s="674"/>
      <c r="AP236" s="674"/>
      <c r="AQ236" s="674"/>
    </row>
    <row r="237" spans="2:44" ht="28.5">
      <c r="B237" s="818"/>
      <c r="C237" s="671"/>
      <c r="D237" s="672" t="s">
        <v>1730</v>
      </c>
      <c r="E237" s="673"/>
      <c r="F237" s="673"/>
      <c r="G237" s="674"/>
      <c r="H237" s="674"/>
      <c r="I237" s="674"/>
      <c r="J237" s="674"/>
      <c r="K237" s="674"/>
      <c r="L237" s="674"/>
      <c r="M237" s="674"/>
      <c r="N237" s="674"/>
      <c r="O237" s="674"/>
      <c r="P237" s="674"/>
      <c r="Q237" s="674"/>
      <c r="R237" s="674"/>
      <c r="S237" s="674"/>
      <c r="T237" s="674"/>
      <c r="U237" s="674">
        <v>100</v>
      </c>
      <c r="V237" s="674"/>
      <c r="W237" s="674"/>
      <c r="X237" s="674"/>
      <c r="Y237" s="674"/>
      <c r="Z237" s="674"/>
      <c r="AA237" s="674"/>
      <c r="AB237" s="674"/>
      <c r="AC237" s="674"/>
      <c r="AD237" s="674">
        <v>100</v>
      </c>
      <c r="AE237" s="674"/>
      <c r="AF237" s="674"/>
      <c r="AG237" s="674"/>
      <c r="AH237" s="674"/>
      <c r="AI237" s="674"/>
      <c r="AJ237" s="674"/>
      <c r="AK237" s="674"/>
      <c r="AL237" s="674"/>
      <c r="AM237" s="674">
        <v>200</v>
      </c>
      <c r="AN237" s="674"/>
      <c r="AO237" s="674"/>
      <c r="AP237" s="674"/>
      <c r="AQ237" s="674"/>
    </row>
    <row r="238" spans="2:44" ht="45">
      <c r="B238" s="818"/>
      <c r="C238" s="671"/>
      <c r="D238" s="791" t="s">
        <v>1675</v>
      </c>
      <c r="E238" s="792" t="s">
        <v>1675</v>
      </c>
      <c r="F238" s="673"/>
      <c r="G238" s="674"/>
      <c r="H238" s="674"/>
      <c r="I238" s="674"/>
      <c r="J238" s="674"/>
      <c r="K238" s="674"/>
      <c r="L238" s="674"/>
      <c r="M238" s="674"/>
      <c r="N238" s="674"/>
      <c r="O238" s="674"/>
      <c r="P238" s="674"/>
      <c r="Q238" s="674"/>
      <c r="R238" s="674"/>
      <c r="S238" s="674"/>
      <c r="T238" s="674"/>
      <c r="U238" s="674">
        <v>100</v>
      </c>
      <c r="V238" s="674"/>
      <c r="W238" s="674"/>
      <c r="X238" s="674"/>
      <c r="Y238" s="674"/>
      <c r="Z238" s="674"/>
      <c r="AA238" s="674"/>
      <c r="AB238" s="674"/>
      <c r="AC238" s="674"/>
      <c r="AD238" s="863">
        <v>1</v>
      </c>
      <c r="AE238" s="863"/>
      <c r="AF238" s="674"/>
      <c r="AG238" s="674"/>
      <c r="AH238" s="674"/>
      <c r="AI238" s="674"/>
      <c r="AJ238" s="674"/>
      <c r="AK238" s="674"/>
      <c r="AL238" s="674"/>
      <c r="AM238" s="674">
        <v>100</v>
      </c>
      <c r="AN238" s="674"/>
      <c r="AO238" s="674"/>
      <c r="AP238" s="674"/>
      <c r="AQ238" s="674"/>
      <c r="AR238" s="673"/>
    </row>
    <row r="239" spans="2:44">
      <c r="B239" s="818"/>
      <c r="C239" s="685" t="s">
        <v>278</v>
      </c>
      <c r="D239" s="672" t="s">
        <v>1738</v>
      </c>
      <c r="E239" s="673"/>
      <c r="F239" s="673"/>
      <c r="G239" s="674"/>
      <c r="H239" s="674"/>
      <c r="I239" s="674"/>
      <c r="J239" s="674"/>
      <c r="K239" s="674"/>
      <c r="L239" s="674"/>
      <c r="M239" s="674"/>
      <c r="N239" s="674"/>
      <c r="O239" s="674"/>
      <c r="P239" s="674"/>
      <c r="Q239" s="674"/>
      <c r="R239" s="674"/>
      <c r="S239" s="674"/>
      <c r="T239" s="674" t="s">
        <v>584</v>
      </c>
      <c r="U239" s="674">
        <v>800</v>
      </c>
      <c r="V239" s="674"/>
      <c r="W239" s="674"/>
      <c r="X239" s="674"/>
      <c r="Y239" s="674"/>
      <c r="Z239" s="674"/>
      <c r="AA239" s="674"/>
      <c r="AB239" s="674"/>
      <c r="AC239" s="863" t="s">
        <v>584</v>
      </c>
      <c r="AD239" s="863">
        <v>1</v>
      </c>
      <c r="AE239" s="674"/>
      <c r="AF239" s="674"/>
      <c r="AG239" s="674"/>
      <c r="AH239" s="674"/>
      <c r="AI239" s="674"/>
      <c r="AJ239" s="674"/>
      <c r="AK239" s="674"/>
      <c r="AL239" s="674" t="s">
        <v>584</v>
      </c>
      <c r="AM239" s="674">
        <v>0</v>
      </c>
      <c r="AN239" s="674"/>
      <c r="AO239" s="674"/>
      <c r="AP239" s="674"/>
      <c r="AQ239" s="674"/>
    </row>
    <row r="240" spans="2:44">
      <c r="B240" s="818"/>
      <c r="C240" s="671"/>
      <c r="D240" s="672" t="s">
        <v>1876</v>
      </c>
      <c r="E240" s="673"/>
      <c r="F240" s="673"/>
      <c r="G240" s="674"/>
      <c r="H240" s="674"/>
      <c r="I240" s="674"/>
      <c r="J240" s="674"/>
      <c r="K240" s="674"/>
      <c r="L240" s="674"/>
      <c r="M240" s="674"/>
      <c r="N240" s="674"/>
      <c r="O240" s="674"/>
      <c r="P240" s="674"/>
      <c r="Q240" s="674"/>
      <c r="R240" s="674"/>
      <c r="S240" s="674"/>
      <c r="T240" s="674"/>
      <c r="U240" s="674">
        <v>3000</v>
      </c>
      <c r="V240" s="674"/>
      <c r="W240" s="674"/>
      <c r="X240" s="674"/>
      <c r="Y240" s="674"/>
      <c r="Z240" s="674"/>
      <c r="AA240" s="674"/>
      <c r="AB240" s="674"/>
      <c r="AC240" s="674"/>
      <c r="AD240" s="916">
        <v>0.1666</v>
      </c>
      <c r="AE240" s="674"/>
      <c r="AF240" s="674"/>
      <c r="AG240" s="674"/>
      <c r="AH240" s="674"/>
      <c r="AI240" s="674"/>
      <c r="AJ240" s="674"/>
      <c r="AK240" s="674"/>
      <c r="AL240" s="674"/>
      <c r="AM240" s="674">
        <v>3000</v>
      </c>
      <c r="AN240" s="674"/>
      <c r="AO240" s="674"/>
      <c r="AP240" s="674"/>
      <c r="AQ240" s="674"/>
    </row>
    <row r="241" spans="2:43" ht="28.5">
      <c r="B241" s="818"/>
      <c r="C241" s="671"/>
      <c r="D241" s="672" t="s">
        <v>1880</v>
      </c>
      <c r="E241" s="673"/>
      <c r="F241" s="673"/>
      <c r="G241" s="674"/>
      <c r="H241" s="674"/>
      <c r="I241" s="674"/>
      <c r="J241" s="674"/>
      <c r="K241" s="674"/>
      <c r="L241" s="674"/>
      <c r="M241" s="674"/>
      <c r="N241" s="674"/>
      <c r="O241" s="674"/>
      <c r="P241" s="674"/>
      <c r="Q241" s="674"/>
      <c r="R241" s="674"/>
      <c r="S241" s="674"/>
      <c r="T241" s="674"/>
      <c r="U241" s="674">
        <v>50</v>
      </c>
      <c r="V241" s="674"/>
      <c r="W241" s="674"/>
      <c r="X241" s="674"/>
      <c r="Y241" s="674"/>
      <c r="Z241" s="674"/>
      <c r="AA241" s="674"/>
      <c r="AB241" s="674"/>
      <c r="AC241" s="674"/>
      <c r="AD241" s="916">
        <v>1</v>
      </c>
      <c r="AE241" s="674"/>
      <c r="AF241" s="674"/>
      <c r="AG241" s="674"/>
      <c r="AH241" s="674"/>
      <c r="AI241" s="674"/>
      <c r="AJ241" s="674"/>
      <c r="AK241" s="674"/>
      <c r="AL241" s="674"/>
      <c r="AM241" s="674">
        <v>50</v>
      </c>
      <c r="AN241" s="674"/>
      <c r="AO241" s="674"/>
      <c r="AP241" s="674"/>
      <c r="AQ241" s="674"/>
    </row>
    <row r="242" spans="2:43" ht="42.75">
      <c r="B242" s="818"/>
      <c r="C242" s="671"/>
      <c r="D242" s="672" t="s">
        <v>1891</v>
      </c>
      <c r="E242" s="673"/>
      <c r="F242" s="673"/>
      <c r="G242" s="674"/>
      <c r="H242" s="674"/>
      <c r="I242" s="674"/>
      <c r="J242" s="674"/>
      <c r="K242" s="674"/>
      <c r="L242" s="674"/>
      <c r="M242" s="674"/>
      <c r="N242" s="674"/>
      <c r="O242" s="674"/>
      <c r="P242" s="674"/>
      <c r="Q242" s="674"/>
      <c r="R242" s="674"/>
      <c r="S242" s="674"/>
      <c r="T242" s="674"/>
      <c r="U242" s="674">
        <v>25</v>
      </c>
      <c r="V242" s="674"/>
      <c r="W242" s="674"/>
      <c r="X242" s="674"/>
      <c r="Y242" s="674"/>
      <c r="Z242" s="674"/>
      <c r="AA242" s="674"/>
      <c r="AB242" s="674"/>
      <c r="AC242" s="674"/>
      <c r="AD242" s="916">
        <v>1</v>
      </c>
      <c r="AE242" s="674"/>
      <c r="AF242" s="674"/>
      <c r="AG242" s="674"/>
      <c r="AH242" s="674"/>
      <c r="AI242" s="674"/>
      <c r="AJ242" s="674"/>
      <c r="AK242" s="674"/>
      <c r="AL242" s="674"/>
      <c r="AM242" s="674">
        <v>25</v>
      </c>
      <c r="AN242" s="674"/>
      <c r="AO242" s="674"/>
      <c r="AP242" s="674"/>
      <c r="AQ242" s="674"/>
    </row>
    <row r="243" spans="2:43" ht="42.75">
      <c r="B243" s="818"/>
      <c r="C243" s="671"/>
      <c r="D243" s="672" t="s">
        <v>1892</v>
      </c>
      <c r="E243" s="673"/>
      <c r="F243" s="673"/>
      <c r="G243" s="674"/>
      <c r="H243" s="674"/>
      <c r="I243" s="674"/>
      <c r="J243" s="674"/>
      <c r="K243" s="674"/>
      <c r="L243" s="674"/>
      <c r="M243" s="674"/>
      <c r="N243" s="674"/>
      <c r="O243" s="674"/>
      <c r="P243" s="674"/>
      <c r="Q243" s="674"/>
      <c r="R243" s="674"/>
      <c r="S243" s="674"/>
      <c r="T243" s="674"/>
      <c r="U243" s="674">
        <v>100</v>
      </c>
      <c r="V243" s="674"/>
      <c r="W243" s="674"/>
      <c r="X243" s="674"/>
      <c r="Y243" s="674"/>
      <c r="Z243" s="674"/>
      <c r="AA243" s="674"/>
      <c r="AB243" s="674"/>
      <c r="AC243" s="674"/>
      <c r="AD243" s="916"/>
      <c r="AE243" s="674"/>
      <c r="AF243" s="674"/>
      <c r="AG243" s="674"/>
      <c r="AH243" s="674"/>
      <c r="AI243" s="674"/>
      <c r="AJ243" s="674"/>
      <c r="AK243" s="674"/>
      <c r="AL243" s="674"/>
      <c r="AM243" s="674">
        <v>100</v>
      </c>
      <c r="AN243" s="674"/>
      <c r="AO243" s="674"/>
      <c r="AP243" s="674"/>
      <c r="AQ243" s="674"/>
    </row>
    <row r="244" spans="2:43" ht="28.5">
      <c r="B244" s="818"/>
      <c r="C244" s="671"/>
      <c r="D244" s="672" t="str">
        <f>D197</f>
        <v>Unified Communication Infrastructure (Communication Hub) interface at SCADA for Data acquisation of SCADA/REMC/URTDSM</v>
      </c>
      <c r="E244" s="673"/>
      <c r="F244" s="673"/>
      <c r="G244" s="674"/>
      <c r="H244" s="674"/>
      <c r="I244" s="674"/>
      <c r="J244" s="674"/>
      <c r="K244" s="674"/>
      <c r="L244" s="674"/>
      <c r="M244" s="674"/>
      <c r="N244" s="674"/>
      <c r="O244" s="674"/>
      <c r="P244" s="674"/>
      <c r="Q244" s="674"/>
      <c r="R244" s="674"/>
      <c r="S244" s="674"/>
      <c r="T244" s="674"/>
      <c r="U244" s="674">
        <v>500</v>
      </c>
      <c r="V244" s="674"/>
      <c r="W244" s="674"/>
      <c r="X244" s="674"/>
      <c r="Y244" s="674"/>
      <c r="Z244" s="674"/>
      <c r="AA244" s="674"/>
      <c r="AB244" s="674"/>
      <c r="AC244" s="674"/>
      <c r="AD244" s="916">
        <v>1</v>
      </c>
      <c r="AE244" s="674"/>
      <c r="AF244" s="674"/>
      <c r="AG244" s="674"/>
      <c r="AH244" s="674"/>
      <c r="AI244" s="674"/>
      <c r="AJ244" s="674"/>
      <c r="AK244" s="674"/>
      <c r="AL244" s="674"/>
      <c r="AM244" s="674">
        <v>500</v>
      </c>
      <c r="AN244" s="674"/>
      <c r="AO244" s="674"/>
      <c r="AP244" s="674"/>
      <c r="AQ244" s="674"/>
    </row>
    <row r="245" spans="2:43" ht="28.5">
      <c r="B245" s="818"/>
      <c r="C245" s="671"/>
      <c r="D245" s="672" t="str">
        <f>D200</f>
        <v xml:space="preserve">Development of New QCA REDSM software based on MERC(F&amp;S) First ammendment notification.  </v>
      </c>
      <c r="E245" s="673"/>
      <c r="F245" s="673"/>
      <c r="G245" s="674"/>
      <c r="H245" s="674"/>
      <c r="I245" s="674"/>
      <c r="J245" s="674"/>
      <c r="K245" s="674"/>
      <c r="L245" s="674"/>
      <c r="M245" s="674"/>
      <c r="N245" s="674"/>
      <c r="O245" s="674"/>
      <c r="P245" s="674"/>
      <c r="Q245" s="674"/>
      <c r="R245" s="674"/>
      <c r="S245" s="674"/>
      <c r="T245" s="674"/>
      <c r="U245" s="674">
        <v>50</v>
      </c>
      <c r="V245" s="674"/>
      <c r="W245" s="674"/>
      <c r="X245" s="674"/>
      <c r="Y245" s="674"/>
      <c r="Z245" s="674"/>
      <c r="AA245" s="674"/>
      <c r="AB245" s="674"/>
      <c r="AC245" s="674"/>
      <c r="AD245" s="916">
        <v>1</v>
      </c>
      <c r="AE245" s="674"/>
      <c r="AF245" s="674"/>
      <c r="AG245" s="674"/>
      <c r="AH245" s="674"/>
      <c r="AI245" s="674"/>
      <c r="AJ245" s="674"/>
      <c r="AK245" s="674"/>
      <c r="AL245" s="674"/>
      <c r="AM245" s="674">
        <v>0</v>
      </c>
      <c r="AN245" s="674"/>
      <c r="AO245" s="674"/>
      <c r="AP245" s="674"/>
      <c r="AQ245" s="674"/>
    </row>
    <row r="246" spans="2:43">
      <c r="B246" s="818"/>
      <c r="C246" s="671"/>
      <c r="D246" s="672" t="str">
        <f>D209</f>
        <v>Development of data handling platform analytical software</v>
      </c>
      <c r="E246" s="673"/>
      <c r="F246" s="673"/>
      <c r="G246" s="674"/>
      <c r="H246" s="674"/>
      <c r="I246" s="674"/>
      <c r="J246" s="674"/>
      <c r="K246" s="674"/>
      <c r="L246" s="674"/>
      <c r="M246" s="674"/>
      <c r="N246" s="674"/>
      <c r="O246" s="674"/>
      <c r="P246" s="674"/>
      <c r="Q246" s="674"/>
      <c r="R246" s="674"/>
      <c r="S246" s="674"/>
      <c r="T246" s="674"/>
      <c r="U246" s="674">
        <v>100</v>
      </c>
      <c r="V246" s="674"/>
      <c r="W246" s="674"/>
      <c r="X246" s="674"/>
      <c r="Y246" s="674"/>
      <c r="Z246" s="674"/>
      <c r="AA246" s="674"/>
      <c r="AB246" s="674"/>
      <c r="AC246" s="674"/>
      <c r="AD246" s="916">
        <v>1</v>
      </c>
      <c r="AE246" s="674"/>
      <c r="AF246" s="674"/>
      <c r="AG246" s="674"/>
      <c r="AH246" s="674"/>
      <c r="AI246" s="674"/>
      <c r="AJ246" s="674"/>
      <c r="AK246" s="674"/>
      <c r="AL246" s="674"/>
      <c r="AM246" s="674">
        <v>100</v>
      </c>
      <c r="AN246" s="674"/>
      <c r="AO246" s="674"/>
      <c r="AP246" s="674"/>
      <c r="AQ246" s="674"/>
    </row>
    <row r="247" spans="2:43" ht="28.5">
      <c r="B247" s="818"/>
      <c r="C247" s="671"/>
      <c r="D247" s="672" t="str">
        <f>D210</f>
        <v>Procurement of optimization tool software licence for SCED and SCUC in the State along with resource adequacy tool</v>
      </c>
      <c r="E247" s="673"/>
      <c r="F247" s="673"/>
      <c r="G247" s="674"/>
      <c r="H247" s="674"/>
      <c r="I247" s="674"/>
      <c r="J247" s="674"/>
      <c r="K247" s="674"/>
      <c r="L247" s="674"/>
      <c r="M247" s="674"/>
      <c r="N247" s="674"/>
      <c r="O247" s="674"/>
      <c r="P247" s="674"/>
      <c r="Q247" s="674"/>
      <c r="R247" s="674"/>
      <c r="S247" s="674"/>
      <c r="T247" s="674"/>
      <c r="U247" s="674">
        <v>50</v>
      </c>
      <c r="V247" s="674"/>
      <c r="W247" s="674"/>
      <c r="X247" s="674"/>
      <c r="Y247" s="674"/>
      <c r="Z247" s="674"/>
      <c r="AA247" s="674"/>
      <c r="AB247" s="674"/>
      <c r="AC247" s="674"/>
      <c r="AD247" s="916">
        <v>1</v>
      </c>
      <c r="AE247" s="674"/>
      <c r="AF247" s="674"/>
      <c r="AG247" s="674"/>
      <c r="AH247" s="674"/>
      <c r="AI247" s="674"/>
      <c r="AJ247" s="674"/>
      <c r="AK247" s="674"/>
      <c r="AL247" s="674"/>
      <c r="AM247" s="674">
        <v>50</v>
      </c>
      <c r="AN247" s="674"/>
      <c r="AO247" s="674"/>
      <c r="AP247" s="674"/>
      <c r="AQ247" s="674"/>
    </row>
    <row r="248" spans="2:43" ht="28.5">
      <c r="B248" s="818"/>
      <c r="C248" s="671"/>
      <c r="D248" s="672" t="s">
        <v>1746</v>
      </c>
      <c r="E248" s="673"/>
      <c r="F248" s="673"/>
      <c r="G248" s="674"/>
      <c r="H248" s="674"/>
      <c r="I248" s="674"/>
      <c r="J248" s="674"/>
      <c r="K248" s="674"/>
      <c r="L248" s="674"/>
      <c r="M248" s="674"/>
      <c r="N248" s="674"/>
      <c r="O248" s="674"/>
      <c r="P248" s="674"/>
      <c r="Q248" s="674"/>
      <c r="R248" s="674"/>
      <c r="S248" s="674"/>
      <c r="T248" s="674"/>
      <c r="U248" s="674">
        <v>100</v>
      </c>
      <c r="V248" s="674"/>
      <c r="W248" s="674"/>
      <c r="X248" s="674"/>
      <c r="Y248" s="674"/>
      <c r="Z248" s="674"/>
      <c r="AA248" s="674"/>
      <c r="AB248" s="674"/>
      <c r="AC248" s="674"/>
      <c r="AD248" s="674">
        <v>100</v>
      </c>
      <c r="AE248" s="674"/>
      <c r="AF248" s="674"/>
      <c r="AG248" s="674"/>
      <c r="AH248" s="674"/>
      <c r="AI248" s="674"/>
      <c r="AJ248" s="674"/>
      <c r="AK248" s="674"/>
      <c r="AL248" s="674"/>
      <c r="AM248" s="674">
        <v>100</v>
      </c>
      <c r="AN248" s="674"/>
      <c r="AO248" s="674"/>
      <c r="AP248" s="674"/>
      <c r="AQ248" s="674"/>
    </row>
    <row r="249" spans="2:43">
      <c r="B249" s="818"/>
      <c r="C249" s="671" t="s">
        <v>1786</v>
      </c>
      <c r="D249" s="672"/>
      <c r="E249" s="673"/>
      <c r="F249" s="673"/>
      <c r="G249" s="674"/>
      <c r="H249" s="674"/>
      <c r="I249" s="674"/>
      <c r="J249" s="674"/>
      <c r="K249" s="674"/>
      <c r="L249" s="674"/>
      <c r="M249" s="674"/>
      <c r="N249" s="674"/>
      <c r="O249" s="674"/>
      <c r="P249" s="674"/>
      <c r="Q249" s="674"/>
      <c r="R249" s="674"/>
      <c r="S249" s="674"/>
      <c r="T249" s="674"/>
      <c r="U249" s="674"/>
      <c r="V249" s="674"/>
      <c r="W249" s="674"/>
      <c r="X249" s="674"/>
      <c r="Y249" s="674"/>
      <c r="Z249" s="674"/>
      <c r="AA249" s="674"/>
      <c r="AB249" s="674"/>
      <c r="AC249" s="674"/>
      <c r="AD249" s="674"/>
      <c r="AE249" s="674"/>
      <c r="AF249" s="674"/>
      <c r="AG249" s="674"/>
      <c r="AH249" s="674"/>
      <c r="AI249" s="674"/>
      <c r="AJ249" s="674"/>
      <c r="AK249" s="674"/>
      <c r="AL249" s="674"/>
      <c r="AM249" s="674"/>
      <c r="AN249" s="674"/>
      <c r="AO249" s="674"/>
      <c r="AP249" s="674"/>
      <c r="AQ249" s="674"/>
    </row>
    <row r="250" spans="2:43">
      <c r="B250" s="818"/>
      <c r="C250" s="671"/>
      <c r="D250" s="672" t="s">
        <v>1739</v>
      </c>
      <c r="E250" s="673"/>
      <c r="F250" s="673"/>
      <c r="G250" s="674"/>
      <c r="H250" s="674"/>
      <c r="I250" s="674"/>
      <c r="J250" s="674"/>
      <c r="K250" s="674"/>
      <c r="L250" s="674"/>
      <c r="M250" s="674"/>
      <c r="N250" s="674"/>
      <c r="O250" s="674"/>
      <c r="P250" s="674"/>
      <c r="Q250" s="674"/>
      <c r="R250" s="674"/>
      <c r="S250" s="674"/>
      <c r="T250" s="674"/>
      <c r="U250" s="674">
        <v>25</v>
      </c>
      <c r="V250" s="674"/>
      <c r="W250" s="674"/>
      <c r="X250" s="674"/>
      <c r="Y250" s="674"/>
      <c r="Z250" s="674"/>
      <c r="AA250" s="674"/>
      <c r="AB250" s="674"/>
      <c r="AC250" s="674"/>
      <c r="AD250" s="863">
        <v>1</v>
      </c>
      <c r="AE250" s="674"/>
      <c r="AF250" s="674"/>
      <c r="AG250" s="674"/>
      <c r="AH250" s="674"/>
      <c r="AI250" s="674"/>
      <c r="AJ250" s="674"/>
      <c r="AK250" s="674"/>
      <c r="AL250" s="674"/>
      <c r="AM250" s="674">
        <v>25</v>
      </c>
      <c r="AN250" s="674"/>
      <c r="AO250" s="674"/>
      <c r="AP250" s="674"/>
      <c r="AQ250" s="674"/>
    </row>
    <row r="251" spans="2:43">
      <c r="B251" s="818"/>
      <c r="C251" s="671"/>
      <c r="D251" s="672" t="s">
        <v>1740</v>
      </c>
      <c r="E251" s="673"/>
      <c r="F251" s="673"/>
      <c r="G251" s="674"/>
      <c r="H251" s="674"/>
      <c r="I251" s="674"/>
      <c r="J251" s="674"/>
      <c r="K251" s="674"/>
      <c r="L251" s="674"/>
      <c r="M251" s="674"/>
      <c r="N251" s="674"/>
      <c r="O251" s="674"/>
      <c r="P251" s="674"/>
      <c r="Q251" s="674"/>
      <c r="R251" s="674"/>
      <c r="S251" s="674"/>
      <c r="T251" s="674"/>
      <c r="U251" s="674">
        <v>10</v>
      </c>
      <c r="V251" s="674"/>
      <c r="W251" s="674"/>
      <c r="X251" s="674"/>
      <c r="Y251" s="674"/>
      <c r="Z251" s="674"/>
      <c r="AA251" s="674"/>
      <c r="AB251" s="674"/>
      <c r="AC251" s="674"/>
      <c r="AD251" s="863">
        <v>1</v>
      </c>
      <c r="AE251" s="674"/>
      <c r="AF251" s="674"/>
      <c r="AG251" s="674"/>
      <c r="AH251" s="674"/>
      <c r="AI251" s="674"/>
      <c r="AJ251" s="674"/>
      <c r="AK251" s="674"/>
      <c r="AL251" s="674"/>
      <c r="AM251" s="674">
        <v>10</v>
      </c>
      <c r="AN251" s="674"/>
      <c r="AO251" s="674"/>
      <c r="AP251" s="674"/>
      <c r="AQ251" s="674"/>
    </row>
    <row r="252" spans="2:43">
      <c r="B252" s="818"/>
      <c r="C252" s="671"/>
      <c r="D252" s="672" t="s">
        <v>1881</v>
      </c>
      <c r="E252" s="673"/>
      <c r="F252" s="673"/>
      <c r="G252" s="674"/>
      <c r="H252" s="674"/>
      <c r="I252" s="674"/>
      <c r="J252" s="674"/>
      <c r="K252" s="674"/>
      <c r="L252" s="674"/>
      <c r="M252" s="674"/>
      <c r="N252" s="674"/>
      <c r="O252" s="674"/>
      <c r="P252" s="674"/>
      <c r="Q252" s="674"/>
      <c r="R252" s="674"/>
      <c r="S252" s="674"/>
      <c r="T252" s="674"/>
      <c r="U252" s="674">
        <v>80</v>
      </c>
      <c r="V252" s="674"/>
      <c r="W252" s="674"/>
      <c r="X252" s="674"/>
      <c r="Y252" s="674"/>
      <c r="Z252" s="674"/>
      <c r="AA252" s="674"/>
      <c r="AB252" s="674"/>
      <c r="AC252" s="674"/>
      <c r="AD252" s="863">
        <v>1</v>
      </c>
      <c r="AE252" s="863"/>
      <c r="AF252" s="674"/>
      <c r="AG252" s="674"/>
      <c r="AH252" s="674"/>
      <c r="AI252" s="674"/>
      <c r="AJ252" s="674"/>
      <c r="AK252" s="674"/>
      <c r="AL252" s="674"/>
      <c r="AM252" s="674">
        <v>80</v>
      </c>
      <c r="AN252" s="674"/>
      <c r="AO252" s="674"/>
      <c r="AP252" s="674"/>
      <c r="AQ252" s="674"/>
    </row>
    <row r="253" spans="2:43" ht="28.5">
      <c r="B253" s="818"/>
      <c r="C253" s="671"/>
      <c r="D253" s="672" t="s">
        <v>1745</v>
      </c>
      <c r="E253" s="673"/>
      <c r="F253" s="673"/>
      <c r="G253" s="674"/>
      <c r="H253" s="674"/>
      <c r="I253" s="674"/>
      <c r="J253" s="674"/>
      <c r="K253" s="674"/>
      <c r="L253" s="674"/>
      <c r="M253" s="674"/>
      <c r="N253" s="674"/>
      <c r="O253" s="674"/>
      <c r="P253" s="674"/>
      <c r="Q253" s="674"/>
      <c r="R253" s="674"/>
      <c r="S253" s="674"/>
      <c r="T253" s="674"/>
      <c r="U253" s="674">
        <v>50</v>
      </c>
      <c r="V253" s="674"/>
      <c r="W253" s="674"/>
      <c r="X253" s="674"/>
      <c r="Y253" s="674"/>
      <c r="Z253" s="674"/>
      <c r="AA253" s="674"/>
      <c r="AB253" s="674"/>
      <c r="AC253" s="674"/>
      <c r="AD253" s="674">
        <v>100</v>
      </c>
      <c r="AE253" s="674"/>
      <c r="AF253" s="674"/>
      <c r="AG253" s="674"/>
      <c r="AH253" s="674"/>
      <c r="AI253" s="674"/>
      <c r="AJ253" s="674"/>
      <c r="AK253" s="674"/>
      <c r="AL253" s="674"/>
      <c r="AM253" s="674">
        <v>50</v>
      </c>
      <c r="AN253" s="674"/>
      <c r="AO253" s="674"/>
      <c r="AP253" s="674"/>
      <c r="AQ253" s="674"/>
    </row>
    <row r="254" spans="2:43" ht="28.5">
      <c r="B254" s="818"/>
      <c r="C254" s="671"/>
      <c r="D254" s="672" t="s">
        <v>1791</v>
      </c>
      <c r="E254" s="673"/>
      <c r="F254" s="673"/>
      <c r="G254" s="674"/>
      <c r="H254" s="674"/>
      <c r="I254" s="674"/>
      <c r="J254" s="674"/>
      <c r="K254" s="674"/>
      <c r="L254" s="674"/>
      <c r="M254" s="674"/>
      <c r="N254" s="674"/>
      <c r="O254" s="674"/>
      <c r="P254" s="674"/>
      <c r="Q254" s="674"/>
      <c r="R254" s="674"/>
      <c r="S254" s="674"/>
      <c r="T254" s="674"/>
      <c r="U254" s="674">
        <v>25</v>
      </c>
      <c r="V254" s="674"/>
      <c r="W254" s="674"/>
      <c r="X254" s="674"/>
      <c r="Y254" s="674"/>
      <c r="Z254" s="674"/>
      <c r="AA254" s="674"/>
      <c r="AB254" s="674"/>
      <c r="AC254" s="674"/>
      <c r="AD254" s="674">
        <v>100</v>
      </c>
      <c r="AE254" s="674"/>
      <c r="AF254" s="674"/>
      <c r="AG254" s="674"/>
      <c r="AH254" s="674"/>
      <c r="AI254" s="674"/>
      <c r="AJ254" s="674"/>
      <c r="AK254" s="674"/>
      <c r="AL254" s="674"/>
      <c r="AM254" s="674">
        <v>25</v>
      </c>
      <c r="AN254" s="674"/>
      <c r="AO254" s="674"/>
      <c r="AP254" s="674"/>
      <c r="AQ254" s="674"/>
    </row>
    <row r="255" spans="2:43" ht="28.5">
      <c r="B255" s="818"/>
      <c r="C255" s="671"/>
      <c r="D255" s="672" t="s">
        <v>1747</v>
      </c>
      <c r="E255" s="673"/>
      <c r="F255" s="673"/>
      <c r="G255" s="674"/>
      <c r="H255" s="674"/>
      <c r="I255" s="674"/>
      <c r="J255" s="674"/>
      <c r="K255" s="674"/>
      <c r="L255" s="674"/>
      <c r="M255" s="674"/>
      <c r="N255" s="674"/>
      <c r="O255" s="674"/>
      <c r="P255" s="674"/>
      <c r="Q255" s="674"/>
      <c r="R255" s="674"/>
      <c r="S255" s="674"/>
      <c r="T255" s="674"/>
      <c r="U255" s="674">
        <v>0</v>
      </c>
      <c r="V255" s="674"/>
      <c r="W255" s="674"/>
      <c r="X255" s="674"/>
      <c r="Y255" s="674"/>
      <c r="Z255" s="674"/>
      <c r="AA255" s="674"/>
      <c r="AB255" s="674"/>
      <c r="AC255" s="674"/>
      <c r="AD255" s="863">
        <v>0</v>
      </c>
      <c r="AE255" s="674"/>
      <c r="AF255" s="674"/>
      <c r="AG255" s="674"/>
      <c r="AH255" s="674"/>
      <c r="AI255" s="674"/>
      <c r="AJ255" s="674"/>
      <c r="AK255" s="674"/>
      <c r="AL255" s="674"/>
      <c r="AM255" s="674">
        <v>0</v>
      </c>
      <c r="AN255" s="674"/>
      <c r="AO255" s="674"/>
      <c r="AP255" s="674"/>
      <c r="AQ255" s="674"/>
    </row>
    <row r="256" spans="2:43">
      <c r="B256" s="818"/>
      <c r="C256" s="685"/>
      <c r="D256" s="672" t="s">
        <v>1882</v>
      </c>
      <c r="E256" s="673"/>
      <c r="F256" s="673"/>
      <c r="G256" s="674"/>
      <c r="H256" s="674"/>
      <c r="I256" s="674"/>
      <c r="J256" s="674"/>
      <c r="K256" s="674"/>
      <c r="L256" s="674"/>
      <c r="M256" s="674"/>
      <c r="N256" s="674"/>
      <c r="O256" s="674"/>
      <c r="P256" s="674"/>
      <c r="Q256" s="674"/>
      <c r="R256" s="674"/>
      <c r="S256" s="674"/>
      <c r="T256" s="674"/>
      <c r="U256" s="674">
        <v>25</v>
      </c>
      <c r="V256" s="674"/>
      <c r="W256" s="674"/>
      <c r="X256" s="674"/>
      <c r="Y256" s="674"/>
      <c r="Z256" s="674"/>
      <c r="AA256" s="674"/>
      <c r="AB256" s="674"/>
      <c r="AC256" s="674"/>
      <c r="AD256" s="863">
        <v>1</v>
      </c>
      <c r="AE256" s="674"/>
      <c r="AF256" s="674"/>
      <c r="AG256" s="674"/>
      <c r="AH256" s="674"/>
      <c r="AI256" s="674"/>
      <c r="AJ256" s="674"/>
      <c r="AK256" s="674"/>
      <c r="AL256" s="674"/>
      <c r="AM256" s="674">
        <v>25</v>
      </c>
      <c r="AN256" s="674"/>
      <c r="AO256" s="674"/>
      <c r="AP256" s="674"/>
      <c r="AQ256" s="674"/>
    </row>
    <row r="257" spans="2:44" ht="15.75" thickBot="1">
      <c r="B257" s="818"/>
      <c r="C257" s="748"/>
      <c r="D257" s="143" t="s">
        <v>1768</v>
      </c>
      <c r="E257" s="750"/>
      <c r="F257" s="750"/>
      <c r="G257" s="674"/>
      <c r="H257" s="674"/>
      <c r="I257" s="674"/>
      <c r="J257" s="674"/>
      <c r="K257" s="674"/>
      <c r="L257" s="674"/>
      <c r="M257" s="674"/>
      <c r="N257" s="674"/>
      <c r="O257" s="674"/>
      <c r="P257" s="674"/>
      <c r="Q257" s="674"/>
      <c r="R257" s="674"/>
      <c r="S257" s="674"/>
      <c r="T257" s="674"/>
      <c r="U257" s="674">
        <v>0</v>
      </c>
      <c r="V257" s="674"/>
      <c r="W257" s="674"/>
      <c r="X257" s="674"/>
      <c r="Y257" s="674"/>
      <c r="Z257" s="674"/>
      <c r="AA257" s="674"/>
      <c r="AB257" s="674"/>
      <c r="AC257" s="674"/>
      <c r="AD257" s="863">
        <v>0</v>
      </c>
      <c r="AE257" s="674"/>
      <c r="AF257" s="674"/>
      <c r="AG257" s="674"/>
      <c r="AH257" s="674"/>
      <c r="AI257" s="674"/>
      <c r="AJ257" s="674"/>
      <c r="AK257" s="674"/>
      <c r="AL257" s="674"/>
      <c r="AM257" s="674">
        <v>0</v>
      </c>
      <c r="AN257" s="674"/>
      <c r="AO257" s="674"/>
      <c r="AP257" s="674"/>
      <c r="AQ257" s="674"/>
    </row>
    <row r="258" spans="2:44" ht="28.5">
      <c r="B258" s="818"/>
      <c r="C258" s="755"/>
      <c r="D258" s="143" t="str">
        <f>D225</f>
        <v>Procurement of optimization tool software licence for SCED and SCUC in the State (GAMS)</v>
      </c>
      <c r="E258" s="757"/>
      <c r="F258" s="757"/>
      <c r="G258" s="674"/>
      <c r="H258" s="674"/>
      <c r="I258" s="674"/>
      <c r="J258" s="674"/>
      <c r="K258" s="674"/>
      <c r="L258" s="674"/>
      <c r="M258" s="674"/>
      <c r="N258" s="674"/>
      <c r="O258" s="674"/>
      <c r="P258" s="674"/>
      <c r="Q258" s="674"/>
      <c r="R258" s="674"/>
      <c r="S258" s="674"/>
      <c r="T258" s="674"/>
      <c r="U258" s="674">
        <v>20</v>
      </c>
      <c r="V258" s="674"/>
      <c r="W258" s="674"/>
      <c r="X258" s="674"/>
      <c r="Y258" s="674"/>
      <c r="Z258" s="674"/>
      <c r="AA258" s="674"/>
      <c r="AB258" s="674"/>
      <c r="AC258" s="674"/>
      <c r="AD258" s="863">
        <v>1</v>
      </c>
      <c r="AE258" s="674"/>
      <c r="AF258" s="674"/>
      <c r="AG258" s="674"/>
      <c r="AH258" s="674"/>
      <c r="AI258" s="674"/>
      <c r="AJ258" s="674"/>
      <c r="AK258" s="674"/>
      <c r="AL258" s="674"/>
      <c r="AM258" s="674">
        <v>40</v>
      </c>
      <c r="AN258" s="674"/>
      <c r="AO258" s="674"/>
      <c r="AP258" s="674"/>
      <c r="AQ258" s="674"/>
    </row>
    <row r="259" spans="2:44">
      <c r="B259" s="818"/>
      <c r="C259" s="755"/>
      <c r="D259" s="143" t="str">
        <f>D226</f>
        <v>ALDC building premises development Civil</v>
      </c>
      <c r="E259" s="757"/>
      <c r="F259" s="757"/>
      <c r="G259" s="674"/>
      <c r="H259" s="674"/>
      <c r="I259" s="674"/>
      <c r="J259" s="674"/>
      <c r="K259" s="674"/>
      <c r="L259" s="674"/>
      <c r="M259" s="674"/>
      <c r="N259" s="674"/>
      <c r="O259" s="674"/>
      <c r="P259" s="674"/>
      <c r="Q259" s="674"/>
      <c r="R259" s="674"/>
      <c r="S259" s="674"/>
      <c r="T259" s="674"/>
      <c r="U259" s="674">
        <v>10</v>
      </c>
      <c r="V259" s="674"/>
      <c r="W259" s="674"/>
      <c r="X259" s="674"/>
      <c r="Y259" s="674"/>
      <c r="Z259" s="674"/>
      <c r="AA259" s="674"/>
      <c r="AB259" s="674"/>
      <c r="AC259" s="674"/>
      <c r="AD259" s="863">
        <v>1</v>
      </c>
      <c r="AE259" s="674"/>
      <c r="AF259" s="674"/>
      <c r="AG259" s="674"/>
      <c r="AH259" s="674"/>
      <c r="AI259" s="674"/>
      <c r="AJ259" s="674"/>
      <c r="AK259" s="674"/>
      <c r="AL259" s="674"/>
      <c r="AM259" s="674">
        <v>10</v>
      </c>
      <c r="AN259" s="674"/>
      <c r="AO259" s="674"/>
      <c r="AP259" s="674"/>
      <c r="AQ259" s="674"/>
    </row>
    <row r="260" spans="2:44" ht="15.75" thickBot="1">
      <c r="B260" s="818"/>
      <c r="C260" s="755"/>
      <c r="D260" s="143" t="s">
        <v>1868</v>
      </c>
      <c r="E260" s="757"/>
      <c r="F260" s="757"/>
      <c r="G260" s="674"/>
      <c r="H260" s="674"/>
      <c r="I260" s="674"/>
      <c r="J260" s="674"/>
      <c r="K260" s="674"/>
      <c r="L260" s="674"/>
      <c r="M260" s="674"/>
      <c r="N260" s="674"/>
      <c r="O260" s="674"/>
      <c r="P260" s="674"/>
      <c r="Q260" s="674"/>
      <c r="R260" s="674"/>
      <c r="S260" s="674"/>
      <c r="T260" s="674"/>
      <c r="U260" s="674">
        <v>15</v>
      </c>
      <c r="V260" s="674"/>
      <c r="W260" s="674"/>
      <c r="X260" s="674"/>
      <c r="Y260" s="674"/>
      <c r="Z260" s="674"/>
      <c r="AA260" s="674"/>
      <c r="AB260" s="674"/>
      <c r="AC260" s="674"/>
      <c r="AD260" s="863">
        <v>1</v>
      </c>
      <c r="AE260" s="674"/>
      <c r="AF260" s="674"/>
      <c r="AG260" s="674"/>
      <c r="AH260" s="674"/>
      <c r="AI260" s="674"/>
      <c r="AJ260" s="674"/>
      <c r="AK260" s="674"/>
      <c r="AL260" s="674"/>
      <c r="AM260" s="674">
        <v>15</v>
      </c>
      <c r="AN260" s="674"/>
      <c r="AO260" s="674"/>
      <c r="AP260" s="674"/>
      <c r="AQ260" s="674"/>
    </row>
    <row r="261" spans="2:44">
      <c r="B261" s="818"/>
      <c r="C261" s="764"/>
      <c r="D261" s="701" t="str">
        <f>D228</f>
        <v>Purchase of office equipememnt / furniture ALDC</v>
      </c>
      <c r="E261" s="668"/>
      <c r="F261" s="668"/>
      <c r="G261" s="674"/>
      <c r="H261" s="674"/>
      <c r="I261" s="674"/>
      <c r="J261" s="674"/>
      <c r="K261" s="674"/>
      <c r="L261" s="674"/>
      <c r="M261" s="674"/>
      <c r="N261" s="674"/>
      <c r="O261" s="674"/>
      <c r="P261" s="674"/>
      <c r="Q261" s="674"/>
      <c r="R261" s="674"/>
      <c r="S261" s="674"/>
      <c r="T261" s="674"/>
      <c r="U261" s="674">
        <v>25</v>
      </c>
      <c r="V261" s="674"/>
      <c r="W261" s="674"/>
      <c r="X261" s="674"/>
      <c r="Y261" s="674"/>
      <c r="Z261" s="674"/>
      <c r="AA261" s="674"/>
      <c r="AB261" s="674"/>
      <c r="AC261" s="674"/>
      <c r="AD261" s="674">
        <v>100</v>
      </c>
      <c r="AE261" s="674"/>
      <c r="AF261" s="674"/>
      <c r="AG261" s="674"/>
      <c r="AH261" s="674"/>
      <c r="AI261" s="674"/>
      <c r="AJ261" s="674"/>
      <c r="AK261" s="674"/>
      <c r="AL261" s="674"/>
      <c r="AM261" s="674">
        <v>25</v>
      </c>
      <c r="AN261" s="674"/>
      <c r="AO261" s="674"/>
      <c r="AP261" s="674"/>
      <c r="AQ261" s="674"/>
    </row>
    <row r="262" spans="2:44">
      <c r="B262" s="818"/>
      <c r="C262" s="925"/>
      <c r="D262" s="814" t="str">
        <f>D227</f>
        <v>Incendental SCADA ALDC</v>
      </c>
      <c r="E262" s="815"/>
      <c r="F262" s="815"/>
      <c r="G262" s="674"/>
      <c r="H262" s="674"/>
      <c r="I262" s="674"/>
      <c r="J262" s="674"/>
      <c r="K262" s="674"/>
      <c r="L262" s="674"/>
      <c r="M262" s="674"/>
      <c r="N262" s="674"/>
      <c r="O262" s="674"/>
      <c r="P262" s="674"/>
      <c r="Q262" s="674"/>
      <c r="R262" s="674"/>
      <c r="S262" s="674"/>
      <c r="T262" s="674"/>
      <c r="U262" s="674">
        <v>10</v>
      </c>
      <c r="V262" s="674"/>
      <c r="W262" s="674"/>
      <c r="X262" s="674"/>
      <c r="Y262" s="674"/>
      <c r="Z262" s="674"/>
      <c r="AA262" s="674"/>
      <c r="AB262" s="674"/>
      <c r="AC262" s="674"/>
      <c r="AD262" s="674">
        <v>100</v>
      </c>
      <c r="AE262" s="674"/>
      <c r="AF262" s="674"/>
      <c r="AG262" s="674"/>
      <c r="AH262" s="674"/>
      <c r="AI262" s="674"/>
      <c r="AJ262" s="674"/>
      <c r="AK262" s="674"/>
      <c r="AL262" s="674"/>
      <c r="AM262" s="674">
        <v>10</v>
      </c>
      <c r="AN262" s="674"/>
      <c r="AO262" s="674"/>
      <c r="AP262" s="674"/>
      <c r="AQ262" s="674"/>
    </row>
    <row r="263" spans="2:44">
      <c r="B263" s="818"/>
      <c r="C263" s="925"/>
      <c r="D263" s="814" t="str">
        <f>D229</f>
        <v>IT ALDC</v>
      </c>
      <c r="E263" s="815"/>
      <c r="F263" s="815"/>
      <c r="G263" s="674"/>
      <c r="H263" s="674"/>
      <c r="I263" s="674"/>
      <c r="J263" s="674"/>
      <c r="K263" s="674"/>
      <c r="L263" s="674"/>
      <c r="M263" s="674"/>
      <c r="N263" s="674"/>
      <c r="O263" s="674"/>
      <c r="P263" s="674"/>
      <c r="Q263" s="674"/>
      <c r="R263" s="674"/>
      <c r="S263" s="674"/>
      <c r="T263" s="674"/>
      <c r="U263" s="674">
        <v>20</v>
      </c>
      <c r="V263" s="674"/>
      <c r="W263" s="674"/>
      <c r="X263" s="674"/>
      <c r="Y263" s="674"/>
      <c r="Z263" s="674"/>
      <c r="AA263" s="674"/>
      <c r="AB263" s="674"/>
      <c r="AC263" s="674"/>
      <c r="AD263" s="674">
        <v>100</v>
      </c>
      <c r="AE263" s="674"/>
      <c r="AF263" s="674"/>
      <c r="AG263" s="674"/>
      <c r="AH263" s="674"/>
      <c r="AI263" s="674"/>
      <c r="AJ263" s="674"/>
      <c r="AK263" s="674"/>
      <c r="AL263" s="674"/>
      <c r="AM263" s="674">
        <v>20</v>
      </c>
      <c r="AN263" s="674"/>
      <c r="AO263" s="674"/>
      <c r="AP263" s="674"/>
      <c r="AQ263" s="674"/>
    </row>
    <row r="264" spans="2:44">
      <c r="B264" s="818"/>
      <c r="C264" s="671" t="s">
        <v>73</v>
      </c>
      <c r="D264" s="672"/>
      <c r="E264" s="673"/>
      <c r="F264" s="673"/>
      <c r="G264" s="674"/>
      <c r="H264" s="674"/>
      <c r="I264" s="674"/>
      <c r="J264" s="674"/>
      <c r="K264" s="674"/>
      <c r="L264" s="674"/>
      <c r="M264" s="674"/>
      <c r="N264" s="674"/>
      <c r="O264" s="674"/>
      <c r="P264" s="674"/>
      <c r="Q264" s="674"/>
      <c r="R264" s="674"/>
      <c r="S264" s="674"/>
      <c r="T264" s="674"/>
      <c r="U264" s="674"/>
      <c r="V264" s="674"/>
      <c r="W264" s="674"/>
      <c r="X264" s="674"/>
      <c r="Y264" s="674"/>
      <c r="Z264" s="674"/>
      <c r="AA264" s="674"/>
      <c r="AB264" s="674"/>
      <c r="AC264" s="674"/>
      <c r="AD264" s="674"/>
      <c r="AE264" s="674"/>
      <c r="AF264" s="674"/>
      <c r="AG264" s="674"/>
      <c r="AH264" s="674"/>
      <c r="AI264" s="674"/>
      <c r="AJ264" s="674"/>
      <c r="AK264" s="674"/>
      <c r="AL264" s="674"/>
      <c r="AM264" s="674"/>
      <c r="AN264" s="674"/>
      <c r="AO264" s="674"/>
      <c r="AP264" s="674"/>
      <c r="AQ264" s="674"/>
    </row>
    <row r="265" spans="2:44">
      <c r="B265" s="818"/>
      <c r="C265" s="671" t="s">
        <v>1779</v>
      </c>
      <c r="D265" s="672"/>
      <c r="E265" s="673"/>
      <c r="F265" s="673"/>
      <c r="G265" s="674"/>
      <c r="H265" s="674"/>
      <c r="I265" s="674"/>
      <c r="J265" s="674"/>
      <c r="K265" s="674"/>
      <c r="L265" s="674"/>
      <c r="M265" s="674"/>
      <c r="N265" s="674"/>
      <c r="O265" s="674"/>
      <c r="P265" s="674"/>
      <c r="Q265" s="674"/>
      <c r="R265" s="674"/>
      <c r="S265" s="674"/>
      <c r="T265" s="674"/>
      <c r="U265" s="674"/>
      <c r="V265" s="674"/>
      <c r="W265" s="674"/>
      <c r="X265" s="674"/>
      <c r="Y265" s="674"/>
      <c r="Z265" s="674"/>
      <c r="AA265" s="674"/>
      <c r="AB265" s="674"/>
      <c r="AC265" s="674"/>
      <c r="AD265" s="674"/>
      <c r="AE265" s="674"/>
      <c r="AF265" s="674"/>
      <c r="AG265" s="674"/>
      <c r="AH265" s="674"/>
      <c r="AI265" s="674"/>
      <c r="AJ265" s="674"/>
      <c r="AK265" s="674"/>
      <c r="AL265" s="674"/>
      <c r="AM265" s="674"/>
      <c r="AN265" s="674"/>
      <c r="AO265" s="674"/>
      <c r="AP265" s="674"/>
      <c r="AQ265" s="674"/>
    </row>
    <row r="266" spans="2:44">
      <c r="B266" s="818"/>
      <c r="C266" s="671"/>
      <c r="D266" s="672" t="s">
        <v>1761</v>
      </c>
      <c r="E266" s="673"/>
      <c r="F266" s="673"/>
      <c r="G266" s="674"/>
      <c r="H266" s="674"/>
      <c r="I266" s="674"/>
      <c r="J266" s="674"/>
      <c r="K266" s="674"/>
      <c r="L266" s="674"/>
      <c r="M266" s="674"/>
      <c r="N266" s="674"/>
      <c r="O266" s="674"/>
      <c r="P266" s="674"/>
      <c r="Q266" s="674"/>
      <c r="R266" s="674"/>
      <c r="S266" s="674"/>
      <c r="T266" s="674"/>
      <c r="U266" s="674"/>
      <c r="V266" s="674">
        <v>600</v>
      </c>
      <c r="W266" s="674"/>
      <c r="X266" s="674"/>
      <c r="Y266" s="674"/>
      <c r="Z266" s="674"/>
      <c r="AA266" s="674"/>
      <c r="AB266" s="674"/>
      <c r="AC266" s="674"/>
      <c r="AD266" s="674"/>
      <c r="AE266" s="916">
        <v>0.35289999999999999</v>
      </c>
      <c r="AF266" s="674"/>
      <c r="AG266" s="674"/>
      <c r="AH266" s="674"/>
      <c r="AI266" s="674"/>
      <c r="AJ266" s="674"/>
      <c r="AK266" s="674"/>
      <c r="AL266" s="674"/>
      <c r="AM266" s="674"/>
      <c r="AN266" s="674">
        <v>0</v>
      </c>
      <c r="AO266" s="674"/>
      <c r="AP266" s="674"/>
      <c r="AQ266" s="674"/>
    </row>
    <row r="267" spans="2:44" ht="28.5">
      <c r="B267" s="818"/>
      <c r="C267" s="671"/>
      <c r="D267" s="672" t="s">
        <v>1883</v>
      </c>
      <c r="E267" s="673"/>
      <c r="F267" s="673"/>
      <c r="G267" s="674"/>
      <c r="H267" s="674"/>
      <c r="I267" s="674"/>
      <c r="J267" s="674"/>
      <c r="K267" s="674"/>
      <c r="L267" s="674"/>
      <c r="M267" s="674"/>
      <c r="N267" s="674"/>
      <c r="O267" s="674"/>
      <c r="P267" s="674"/>
      <c r="Q267" s="674"/>
      <c r="R267" s="674"/>
      <c r="S267" s="674"/>
      <c r="T267" s="674"/>
      <c r="U267" s="674"/>
      <c r="V267" s="674">
        <v>3500</v>
      </c>
      <c r="W267" s="674"/>
      <c r="X267" s="674"/>
      <c r="Y267" s="674"/>
      <c r="Z267" s="674"/>
      <c r="AA267" s="674"/>
      <c r="AB267" s="674"/>
      <c r="AC267" s="674"/>
      <c r="AD267" s="674"/>
      <c r="AE267" s="916">
        <v>0.33329999999999999</v>
      </c>
      <c r="AF267" s="674"/>
      <c r="AG267" s="674"/>
      <c r="AH267" s="674"/>
      <c r="AI267" s="674"/>
      <c r="AJ267" s="674"/>
      <c r="AK267" s="674"/>
      <c r="AL267" s="674"/>
      <c r="AM267" s="674"/>
      <c r="AN267" s="674">
        <v>2500</v>
      </c>
      <c r="AO267" s="674"/>
      <c r="AP267" s="674"/>
      <c r="AQ267" s="674"/>
    </row>
    <row r="268" spans="2:44" ht="28.5">
      <c r="B268" s="818"/>
      <c r="C268" s="671"/>
      <c r="D268" s="672" t="s">
        <v>1884</v>
      </c>
      <c r="E268" s="673"/>
      <c r="F268" s="673"/>
      <c r="G268" s="674"/>
      <c r="H268" s="674"/>
      <c r="I268" s="674"/>
      <c r="J268" s="674"/>
      <c r="K268" s="674"/>
      <c r="L268" s="674"/>
      <c r="M268" s="674"/>
      <c r="N268" s="674"/>
      <c r="O268" s="674"/>
      <c r="P268" s="674"/>
      <c r="Q268" s="674"/>
      <c r="R268" s="674"/>
      <c r="S268" s="674"/>
      <c r="T268" s="674"/>
      <c r="U268" s="674"/>
      <c r="V268" s="674">
        <v>100</v>
      </c>
      <c r="W268" s="674"/>
      <c r="X268" s="674"/>
      <c r="Y268" s="674"/>
      <c r="Z268" s="674"/>
      <c r="AA268" s="674"/>
      <c r="AB268" s="674"/>
      <c r="AC268" s="674"/>
      <c r="AD268" s="674"/>
      <c r="AE268" s="863">
        <v>1</v>
      </c>
      <c r="AF268" s="674"/>
      <c r="AG268" s="674"/>
      <c r="AH268" s="674"/>
      <c r="AI268" s="674"/>
      <c r="AJ268" s="674"/>
      <c r="AK268" s="674"/>
      <c r="AL268" s="674"/>
      <c r="AM268" s="674"/>
      <c r="AN268" s="674">
        <v>100</v>
      </c>
      <c r="AO268" s="674"/>
      <c r="AP268" s="674"/>
      <c r="AQ268" s="674"/>
    </row>
    <row r="269" spans="2:44" ht="28.5">
      <c r="B269" s="818"/>
      <c r="C269" s="671"/>
      <c r="D269" s="672" t="s">
        <v>1730</v>
      </c>
      <c r="E269" s="673"/>
      <c r="F269" s="673"/>
      <c r="G269" s="674"/>
      <c r="H269" s="674"/>
      <c r="I269" s="674"/>
      <c r="J269" s="674"/>
      <c r="K269" s="674"/>
      <c r="L269" s="674"/>
      <c r="M269" s="674"/>
      <c r="N269" s="674"/>
      <c r="O269" s="674"/>
      <c r="P269" s="674"/>
      <c r="Q269" s="674"/>
      <c r="R269" s="674"/>
      <c r="S269" s="674"/>
      <c r="T269" s="674"/>
      <c r="U269" s="674"/>
      <c r="V269" s="674">
        <v>100</v>
      </c>
      <c r="W269" s="674"/>
      <c r="X269" s="674"/>
      <c r="Y269" s="674"/>
      <c r="Z269" s="674"/>
      <c r="AA269" s="674"/>
      <c r="AB269" s="674"/>
      <c r="AC269" s="674"/>
      <c r="AD269" s="674"/>
      <c r="AE269" s="674">
        <v>100</v>
      </c>
      <c r="AF269" s="674"/>
      <c r="AG269" s="674"/>
      <c r="AH269" s="674"/>
      <c r="AI269" s="674"/>
      <c r="AJ269" s="674"/>
      <c r="AK269" s="674"/>
      <c r="AL269" s="674"/>
      <c r="AM269" s="674"/>
      <c r="AN269" s="674">
        <v>100</v>
      </c>
      <c r="AO269" s="674"/>
      <c r="AP269" s="674"/>
      <c r="AQ269" s="674"/>
    </row>
    <row r="270" spans="2:44" ht="45">
      <c r="B270" s="818"/>
      <c r="C270" s="671"/>
      <c r="D270" s="791" t="s">
        <v>1675</v>
      </c>
      <c r="E270" s="792" t="s">
        <v>1675</v>
      </c>
      <c r="F270" s="673"/>
      <c r="G270" s="674"/>
      <c r="H270" s="674"/>
      <c r="I270" s="674"/>
      <c r="J270" s="674"/>
      <c r="K270" s="674"/>
      <c r="L270" s="674"/>
      <c r="M270" s="674"/>
      <c r="N270" s="674"/>
      <c r="O270" s="674"/>
      <c r="P270" s="674"/>
      <c r="Q270" s="674"/>
      <c r="R270" s="674"/>
      <c r="S270" s="674"/>
      <c r="T270" s="674"/>
      <c r="U270" s="674"/>
      <c r="V270" s="674">
        <v>100</v>
      </c>
      <c r="W270" s="674"/>
      <c r="X270" s="674"/>
      <c r="Y270" s="674"/>
      <c r="Z270" s="674"/>
      <c r="AA270" s="674"/>
      <c r="AB270" s="674"/>
      <c r="AC270" s="674"/>
      <c r="AD270" s="674"/>
      <c r="AE270" s="863">
        <v>1</v>
      </c>
      <c r="AF270" s="863"/>
      <c r="AG270" s="674"/>
      <c r="AH270" s="674"/>
      <c r="AI270" s="674"/>
      <c r="AJ270" s="674"/>
      <c r="AK270" s="674"/>
      <c r="AL270" s="674"/>
      <c r="AM270" s="674"/>
      <c r="AN270" s="674">
        <v>100</v>
      </c>
      <c r="AO270" s="674"/>
      <c r="AP270" s="674"/>
      <c r="AQ270" s="674"/>
      <c r="AR270" s="673"/>
    </row>
    <row r="271" spans="2:44" ht="28.5">
      <c r="B271" s="818"/>
      <c r="C271" s="671"/>
      <c r="D271" s="143" t="str">
        <f>D241</f>
        <v>Development of PSS-wise RE Forecasting Software for MSLDC (change request)</v>
      </c>
      <c r="E271" s="673"/>
      <c r="F271" s="673"/>
      <c r="G271" s="674"/>
      <c r="H271" s="674"/>
      <c r="I271" s="674"/>
      <c r="J271" s="674"/>
      <c r="K271" s="674"/>
      <c r="L271" s="674"/>
      <c r="M271" s="674"/>
      <c r="N271" s="674"/>
      <c r="O271" s="674"/>
      <c r="P271" s="674"/>
      <c r="Q271" s="674"/>
      <c r="R271" s="674"/>
      <c r="S271" s="674"/>
      <c r="T271" s="674"/>
      <c r="U271" s="674"/>
      <c r="V271" s="674">
        <v>50</v>
      </c>
      <c r="W271" s="674"/>
      <c r="X271" s="674"/>
      <c r="Y271" s="674"/>
      <c r="Z271" s="674"/>
      <c r="AA271" s="674"/>
      <c r="AB271" s="674"/>
      <c r="AC271" s="674"/>
      <c r="AD271" s="674"/>
      <c r="AE271" s="674">
        <v>100</v>
      </c>
      <c r="AF271" s="674"/>
      <c r="AG271" s="674"/>
      <c r="AH271" s="674"/>
      <c r="AI271" s="674"/>
      <c r="AJ271" s="674"/>
      <c r="AK271" s="674"/>
      <c r="AL271" s="674"/>
      <c r="AM271" s="674"/>
      <c r="AN271" s="674">
        <v>50</v>
      </c>
      <c r="AO271" s="674"/>
      <c r="AP271" s="674"/>
      <c r="AQ271" s="674"/>
    </row>
    <row r="272" spans="2:44" ht="42.75">
      <c r="B272" s="818"/>
      <c r="C272" s="671"/>
      <c r="D272" s="672" t="s">
        <v>1891</v>
      </c>
      <c r="E272" s="673"/>
      <c r="F272" s="673"/>
      <c r="G272" s="674"/>
      <c r="H272" s="674"/>
      <c r="I272" s="674"/>
      <c r="J272" s="674"/>
      <c r="K272" s="674"/>
      <c r="L272" s="674"/>
      <c r="M272" s="674"/>
      <c r="N272" s="674"/>
      <c r="O272" s="674"/>
      <c r="P272" s="674"/>
      <c r="Q272" s="674"/>
      <c r="R272" s="674"/>
      <c r="S272" s="674"/>
      <c r="T272" s="674"/>
      <c r="U272" s="674"/>
      <c r="V272" s="674">
        <v>25</v>
      </c>
      <c r="W272" s="674"/>
      <c r="X272" s="674"/>
      <c r="Y272" s="674"/>
      <c r="Z272" s="674"/>
      <c r="AA272" s="674"/>
      <c r="AB272" s="674"/>
      <c r="AC272" s="674"/>
      <c r="AD272" s="674"/>
      <c r="AE272" s="674">
        <v>100</v>
      </c>
      <c r="AF272" s="674"/>
      <c r="AG272" s="674"/>
      <c r="AH272" s="674"/>
      <c r="AI272" s="674"/>
      <c r="AJ272" s="674"/>
      <c r="AK272" s="674"/>
      <c r="AL272" s="674"/>
      <c r="AM272" s="674"/>
      <c r="AN272" s="674">
        <v>25</v>
      </c>
      <c r="AO272" s="674"/>
      <c r="AP272" s="674"/>
      <c r="AQ272" s="674"/>
    </row>
    <row r="273" spans="2:43" ht="42.75">
      <c r="B273" s="818"/>
      <c r="C273" s="671"/>
      <c r="D273" s="672" t="s">
        <v>1892</v>
      </c>
      <c r="E273" s="673"/>
      <c r="F273" s="673"/>
      <c r="G273" s="674"/>
      <c r="H273" s="674"/>
      <c r="I273" s="674"/>
      <c r="J273" s="674"/>
      <c r="K273" s="674"/>
      <c r="L273" s="674"/>
      <c r="M273" s="674"/>
      <c r="N273" s="674"/>
      <c r="O273" s="674"/>
      <c r="P273" s="674"/>
      <c r="Q273" s="674"/>
      <c r="R273" s="674"/>
      <c r="S273" s="674"/>
      <c r="T273" s="674"/>
      <c r="U273" s="674"/>
      <c r="V273" s="674">
        <v>100</v>
      </c>
      <c r="W273" s="674"/>
      <c r="X273" s="674"/>
      <c r="Y273" s="674"/>
      <c r="Z273" s="674"/>
      <c r="AA273" s="674"/>
      <c r="AB273" s="674"/>
      <c r="AC273" s="674"/>
      <c r="AD273" s="674"/>
      <c r="AE273" s="674"/>
      <c r="AF273" s="674"/>
      <c r="AG273" s="674"/>
      <c r="AH273" s="674"/>
      <c r="AI273" s="674"/>
      <c r="AJ273" s="674"/>
      <c r="AK273" s="674"/>
      <c r="AL273" s="674"/>
      <c r="AM273" s="674"/>
      <c r="AN273" s="674">
        <v>100</v>
      </c>
      <c r="AO273" s="674"/>
      <c r="AP273" s="674"/>
      <c r="AQ273" s="674"/>
    </row>
    <row r="274" spans="2:43">
      <c r="B274" s="818"/>
      <c r="C274" s="671"/>
      <c r="D274" s="143" t="str">
        <f>D239</f>
        <v>New Residential tower at MSLDC, Airoli</v>
      </c>
      <c r="E274" s="673"/>
      <c r="F274" s="673"/>
      <c r="G274" s="674"/>
      <c r="H274" s="674"/>
      <c r="I274" s="674"/>
      <c r="J274" s="674"/>
      <c r="K274" s="674"/>
      <c r="L274" s="674"/>
      <c r="M274" s="674"/>
      <c r="N274" s="674"/>
      <c r="O274" s="674"/>
      <c r="P274" s="674"/>
      <c r="Q274" s="674"/>
      <c r="R274" s="674"/>
      <c r="S274" s="674"/>
      <c r="T274" s="674"/>
      <c r="U274" s="674"/>
      <c r="V274" s="674">
        <v>870</v>
      </c>
      <c r="W274" s="674"/>
      <c r="X274" s="674"/>
      <c r="Y274" s="674"/>
      <c r="Z274" s="674"/>
      <c r="AA274" s="674"/>
      <c r="AB274" s="674"/>
      <c r="AC274" s="674"/>
      <c r="AD274" s="674"/>
      <c r="AE274" s="674">
        <v>100</v>
      </c>
      <c r="AF274" s="674"/>
      <c r="AG274" s="674"/>
      <c r="AH274" s="674"/>
      <c r="AI274" s="674"/>
      <c r="AJ274" s="674"/>
      <c r="AK274" s="674"/>
      <c r="AL274" s="674"/>
      <c r="AM274" s="674"/>
      <c r="AN274" s="674">
        <f>800+870</f>
        <v>1670</v>
      </c>
      <c r="AO274" s="674"/>
      <c r="AP274" s="674"/>
      <c r="AQ274" s="674"/>
    </row>
    <row r="275" spans="2:43" ht="28.5">
      <c r="B275" s="818"/>
      <c r="C275" s="671"/>
      <c r="D275" s="143" t="str">
        <f>D245</f>
        <v xml:space="preserve">Development of New QCA REDSM software based on MERC(F&amp;S) First ammendment notification.  </v>
      </c>
      <c r="E275" s="673"/>
      <c r="F275" s="673"/>
      <c r="G275" s="674"/>
      <c r="H275" s="674"/>
      <c r="I275" s="674"/>
      <c r="J275" s="674"/>
      <c r="K275" s="674"/>
      <c r="L275" s="674"/>
      <c r="M275" s="674"/>
      <c r="N275" s="674"/>
      <c r="O275" s="674"/>
      <c r="P275" s="674"/>
      <c r="Q275" s="674"/>
      <c r="R275" s="674"/>
      <c r="S275" s="674"/>
      <c r="T275" s="674"/>
      <c r="U275" s="674"/>
      <c r="V275" s="674">
        <v>50</v>
      </c>
      <c r="W275" s="674"/>
      <c r="X275" s="674"/>
      <c r="Y275" s="674"/>
      <c r="Z275" s="674"/>
      <c r="AA275" s="674"/>
      <c r="AB275" s="674"/>
      <c r="AC275" s="674"/>
      <c r="AD275" s="674"/>
      <c r="AE275" s="674">
        <v>100</v>
      </c>
      <c r="AF275" s="674"/>
      <c r="AG275" s="674"/>
      <c r="AH275" s="674"/>
      <c r="AI275" s="674"/>
      <c r="AJ275" s="674"/>
      <c r="AK275" s="674"/>
      <c r="AL275" s="674"/>
      <c r="AM275" s="674"/>
      <c r="AN275" s="674">
        <v>100</v>
      </c>
      <c r="AO275" s="674"/>
      <c r="AP275" s="674"/>
      <c r="AQ275" s="674"/>
    </row>
    <row r="276" spans="2:43">
      <c r="B276" s="818"/>
      <c r="C276" s="671"/>
      <c r="D276" s="143" t="str">
        <f>D246</f>
        <v>Development of data handling platform analytical software</v>
      </c>
      <c r="E276" s="673"/>
      <c r="F276" s="673"/>
      <c r="G276" s="674"/>
      <c r="H276" s="674"/>
      <c r="I276" s="674"/>
      <c r="J276" s="674"/>
      <c r="K276" s="674"/>
      <c r="L276" s="674"/>
      <c r="M276" s="674"/>
      <c r="N276" s="674"/>
      <c r="O276" s="674"/>
      <c r="P276" s="674"/>
      <c r="Q276" s="674"/>
      <c r="R276" s="674"/>
      <c r="S276" s="674"/>
      <c r="T276" s="674"/>
      <c r="U276" s="674"/>
      <c r="V276" s="674">
        <v>100</v>
      </c>
      <c r="W276" s="674"/>
      <c r="X276" s="674"/>
      <c r="Y276" s="674"/>
      <c r="Z276" s="674"/>
      <c r="AA276" s="674"/>
      <c r="AB276" s="674"/>
      <c r="AC276" s="674"/>
      <c r="AD276" s="674"/>
      <c r="AE276" s="674">
        <v>100</v>
      </c>
      <c r="AF276" s="674"/>
      <c r="AG276" s="674"/>
      <c r="AH276" s="674"/>
      <c r="AI276" s="674"/>
      <c r="AJ276" s="674"/>
      <c r="AK276" s="674"/>
      <c r="AL276" s="674"/>
      <c r="AM276" s="674"/>
      <c r="AN276" s="674">
        <v>100</v>
      </c>
      <c r="AO276" s="674"/>
      <c r="AP276" s="674"/>
      <c r="AQ276" s="674"/>
    </row>
    <row r="277" spans="2:43" ht="28.5">
      <c r="B277" s="818"/>
      <c r="C277" s="671"/>
      <c r="D277" s="143" t="str">
        <f>D247</f>
        <v>Procurement of optimization tool software licence for SCED and SCUC in the State along with resource adequacy tool</v>
      </c>
      <c r="E277" s="673"/>
      <c r="F277" s="673"/>
      <c r="G277" s="674"/>
      <c r="H277" s="674"/>
      <c r="I277" s="674"/>
      <c r="J277" s="674"/>
      <c r="K277" s="674"/>
      <c r="L277" s="674"/>
      <c r="M277" s="674"/>
      <c r="N277" s="674"/>
      <c r="O277" s="674"/>
      <c r="P277" s="674"/>
      <c r="Q277" s="674"/>
      <c r="R277" s="674"/>
      <c r="S277" s="674"/>
      <c r="T277" s="674"/>
      <c r="U277" s="674"/>
      <c r="V277" s="674">
        <v>50</v>
      </c>
      <c r="W277" s="674"/>
      <c r="X277" s="674"/>
      <c r="Y277" s="674"/>
      <c r="Z277" s="674"/>
      <c r="AA277" s="674"/>
      <c r="AB277" s="674"/>
      <c r="AC277" s="674"/>
      <c r="AD277" s="674"/>
      <c r="AE277" s="674">
        <v>100</v>
      </c>
      <c r="AF277" s="674"/>
      <c r="AG277" s="674"/>
      <c r="AH277" s="674"/>
      <c r="AI277" s="674"/>
      <c r="AJ277" s="674"/>
      <c r="AK277" s="674"/>
      <c r="AL277" s="674"/>
      <c r="AM277" s="674"/>
      <c r="AN277" s="674">
        <v>50</v>
      </c>
      <c r="AO277" s="674"/>
      <c r="AP277" s="674"/>
      <c r="AQ277" s="674"/>
    </row>
    <row r="278" spans="2:43" ht="28.5">
      <c r="B278" s="818"/>
      <c r="C278" s="671"/>
      <c r="D278" s="672" t="s">
        <v>1746</v>
      </c>
      <c r="E278" s="673"/>
      <c r="F278" s="673"/>
      <c r="G278" s="674"/>
      <c r="H278" s="674"/>
      <c r="I278" s="674"/>
      <c r="J278" s="674"/>
      <c r="K278" s="674"/>
      <c r="L278" s="674"/>
      <c r="M278" s="674"/>
      <c r="N278" s="674"/>
      <c r="O278" s="674"/>
      <c r="P278" s="674"/>
      <c r="Q278" s="674"/>
      <c r="R278" s="674"/>
      <c r="S278" s="674"/>
      <c r="T278" s="674"/>
      <c r="U278" s="674"/>
      <c r="V278" s="674">
        <v>100</v>
      </c>
      <c r="W278" s="674"/>
      <c r="X278" s="674"/>
      <c r="Y278" s="674"/>
      <c r="Z278" s="674"/>
      <c r="AA278" s="674"/>
      <c r="AB278" s="674"/>
      <c r="AC278" s="674"/>
      <c r="AD278" s="674"/>
      <c r="AE278" s="674">
        <v>100</v>
      </c>
      <c r="AF278" s="674"/>
      <c r="AG278" s="674"/>
      <c r="AH278" s="674"/>
      <c r="AI278" s="674"/>
      <c r="AJ278" s="674"/>
      <c r="AK278" s="674"/>
      <c r="AL278" s="674"/>
      <c r="AM278" s="674"/>
      <c r="AN278" s="674">
        <v>100</v>
      </c>
      <c r="AO278" s="674"/>
      <c r="AP278" s="674"/>
      <c r="AQ278" s="674"/>
    </row>
    <row r="279" spans="2:43">
      <c r="B279" s="818"/>
      <c r="C279" s="671" t="s">
        <v>1786</v>
      </c>
      <c r="D279" s="672"/>
      <c r="E279" s="673"/>
      <c r="F279" s="673"/>
      <c r="G279" s="674"/>
      <c r="H279" s="674"/>
      <c r="I279" s="674"/>
      <c r="J279" s="674"/>
      <c r="K279" s="674"/>
      <c r="L279" s="674"/>
      <c r="M279" s="674"/>
      <c r="N279" s="674"/>
      <c r="O279" s="674"/>
      <c r="P279" s="674"/>
      <c r="Q279" s="674"/>
      <c r="R279" s="674"/>
      <c r="S279" s="674"/>
      <c r="T279" s="674"/>
      <c r="U279" s="674"/>
      <c r="V279" s="674"/>
      <c r="W279" s="674"/>
      <c r="X279" s="674"/>
      <c r="Y279" s="674"/>
      <c r="Z279" s="674"/>
      <c r="AA279" s="674"/>
      <c r="AB279" s="674"/>
      <c r="AC279" s="674"/>
      <c r="AD279" s="674"/>
      <c r="AE279" s="674"/>
      <c r="AF279" s="674"/>
      <c r="AG279" s="674"/>
      <c r="AH279" s="674"/>
      <c r="AI279" s="674"/>
      <c r="AJ279" s="674"/>
      <c r="AK279" s="674"/>
      <c r="AL279" s="674"/>
      <c r="AM279" s="674"/>
      <c r="AN279" s="674"/>
      <c r="AO279" s="674"/>
      <c r="AP279" s="674"/>
      <c r="AQ279" s="674"/>
    </row>
    <row r="280" spans="2:43">
      <c r="B280" s="818"/>
      <c r="C280" s="671"/>
      <c r="D280" s="672" t="s">
        <v>1739</v>
      </c>
      <c r="E280" s="673"/>
      <c r="F280" s="673"/>
      <c r="G280" s="674"/>
      <c r="H280" s="674"/>
      <c r="I280" s="674"/>
      <c r="J280" s="674"/>
      <c r="K280" s="674"/>
      <c r="L280" s="674"/>
      <c r="M280" s="674"/>
      <c r="N280" s="674"/>
      <c r="O280" s="674"/>
      <c r="P280" s="674"/>
      <c r="Q280" s="674"/>
      <c r="R280" s="674"/>
      <c r="S280" s="674"/>
      <c r="T280" s="674"/>
      <c r="U280" s="674"/>
      <c r="V280" s="674">
        <v>50</v>
      </c>
      <c r="W280" s="674"/>
      <c r="X280" s="674"/>
      <c r="Y280" s="674"/>
      <c r="Z280" s="674"/>
      <c r="AA280" s="674"/>
      <c r="AB280" s="674"/>
      <c r="AC280" s="674"/>
      <c r="AD280" s="674"/>
      <c r="AE280" s="863">
        <v>1</v>
      </c>
      <c r="AF280" s="674"/>
      <c r="AG280" s="674"/>
      <c r="AH280" s="674"/>
      <c r="AI280" s="674"/>
      <c r="AJ280" s="674"/>
      <c r="AK280" s="674"/>
      <c r="AL280" s="674"/>
      <c r="AM280" s="674"/>
      <c r="AN280" s="674">
        <v>50</v>
      </c>
      <c r="AO280" s="674"/>
      <c r="AP280" s="674"/>
      <c r="AQ280" s="674"/>
    </row>
    <row r="281" spans="2:43">
      <c r="B281" s="818"/>
      <c r="C281" s="671"/>
      <c r="D281" s="672" t="s">
        <v>1740</v>
      </c>
      <c r="E281" s="673"/>
      <c r="F281" s="673"/>
      <c r="G281" s="674"/>
      <c r="H281" s="674"/>
      <c r="I281" s="674"/>
      <c r="J281" s="674"/>
      <c r="K281" s="674"/>
      <c r="L281" s="674"/>
      <c r="M281" s="674"/>
      <c r="N281" s="674"/>
      <c r="O281" s="674"/>
      <c r="P281" s="674"/>
      <c r="Q281" s="674"/>
      <c r="R281" s="674"/>
      <c r="S281" s="674"/>
      <c r="T281" s="674"/>
      <c r="U281" s="674"/>
      <c r="V281" s="674">
        <v>10</v>
      </c>
      <c r="W281" s="674"/>
      <c r="X281" s="674"/>
      <c r="Y281" s="674"/>
      <c r="Z281" s="674"/>
      <c r="AA281" s="674"/>
      <c r="AB281" s="674"/>
      <c r="AC281" s="674"/>
      <c r="AD281" s="674"/>
      <c r="AE281" s="863">
        <v>1</v>
      </c>
      <c r="AF281" s="674"/>
      <c r="AG281" s="674"/>
      <c r="AH281" s="674"/>
      <c r="AI281" s="674"/>
      <c r="AJ281" s="674"/>
      <c r="AK281" s="674"/>
      <c r="AL281" s="674"/>
      <c r="AM281" s="674"/>
      <c r="AN281" s="674">
        <v>10</v>
      </c>
      <c r="AO281" s="674"/>
      <c r="AP281" s="674"/>
      <c r="AQ281" s="674"/>
    </row>
    <row r="282" spans="2:43" ht="28.5">
      <c r="B282" s="818"/>
      <c r="C282" s="671"/>
      <c r="D282" s="672" t="s">
        <v>1745</v>
      </c>
      <c r="E282" s="673"/>
      <c r="F282" s="673"/>
      <c r="G282" s="674"/>
      <c r="H282" s="674"/>
      <c r="I282" s="674"/>
      <c r="J282" s="674"/>
      <c r="K282" s="674"/>
      <c r="L282" s="674"/>
      <c r="M282" s="674"/>
      <c r="N282" s="674"/>
      <c r="O282" s="674"/>
      <c r="P282" s="674"/>
      <c r="Q282" s="674"/>
      <c r="R282" s="674"/>
      <c r="S282" s="674"/>
      <c r="T282" s="674"/>
      <c r="U282" s="674"/>
      <c r="V282" s="674">
        <v>50</v>
      </c>
      <c r="W282" s="674"/>
      <c r="X282" s="674"/>
      <c r="Y282" s="674"/>
      <c r="Z282" s="674"/>
      <c r="AA282" s="674"/>
      <c r="AB282" s="674"/>
      <c r="AC282" s="674"/>
      <c r="AD282" s="674"/>
      <c r="AE282" s="674">
        <v>100</v>
      </c>
      <c r="AF282" s="674"/>
      <c r="AG282" s="674"/>
      <c r="AH282" s="674"/>
      <c r="AI282" s="674"/>
      <c r="AJ282" s="674"/>
      <c r="AK282" s="674"/>
      <c r="AL282" s="674"/>
      <c r="AM282" s="674"/>
      <c r="AN282" s="674">
        <v>50</v>
      </c>
      <c r="AO282" s="674"/>
      <c r="AP282" s="674"/>
      <c r="AQ282" s="674"/>
    </row>
    <row r="283" spans="2:43" ht="28.5">
      <c r="B283" s="818"/>
      <c r="C283" s="671"/>
      <c r="D283" s="672" t="s">
        <v>1791</v>
      </c>
      <c r="E283" s="673"/>
      <c r="F283" s="673"/>
      <c r="G283" s="674"/>
      <c r="H283" s="674"/>
      <c r="I283" s="674"/>
      <c r="J283" s="674"/>
      <c r="K283" s="674"/>
      <c r="L283" s="674"/>
      <c r="M283" s="674"/>
      <c r="N283" s="674"/>
      <c r="O283" s="674"/>
      <c r="P283" s="674"/>
      <c r="Q283" s="674"/>
      <c r="R283" s="674"/>
      <c r="S283" s="674"/>
      <c r="T283" s="674"/>
      <c r="U283" s="674"/>
      <c r="V283" s="674">
        <v>25</v>
      </c>
      <c r="W283" s="674"/>
      <c r="X283" s="674"/>
      <c r="Y283" s="674"/>
      <c r="Z283" s="674"/>
      <c r="AA283" s="674"/>
      <c r="AB283" s="674"/>
      <c r="AC283" s="674"/>
      <c r="AD283" s="674"/>
      <c r="AE283" s="674">
        <v>100</v>
      </c>
      <c r="AF283" s="674"/>
      <c r="AG283" s="674"/>
      <c r="AH283" s="674"/>
      <c r="AI283" s="674"/>
      <c r="AJ283" s="674"/>
      <c r="AK283" s="674"/>
      <c r="AL283" s="674"/>
      <c r="AM283" s="674"/>
      <c r="AN283" s="674">
        <v>25</v>
      </c>
      <c r="AO283" s="674"/>
      <c r="AP283" s="674"/>
      <c r="AQ283" s="674"/>
    </row>
    <row r="284" spans="2:43" ht="28.5">
      <c r="B284" s="818"/>
      <c r="C284" s="671"/>
      <c r="D284" s="672" t="s">
        <v>1747</v>
      </c>
      <c r="E284" s="673"/>
      <c r="F284" s="673"/>
      <c r="G284" s="674"/>
      <c r="H284" s="674"/>
      <c r="I284" s="674"/>
      <c r="J284" s="674"/>
      <c r="K284" s="674"/>
      <c r="L284" s="674"/>
      <c r="M284" s="674"/>
      <c r="N284" s="674"/>
      <c r="O284" s="674"/>
      <c r="P284" s="674"/>
      <c r="Q284" s="674"/>
      <c r="R284" s="674"/>
      <c r="S284" s="674"/>
      <c r="T284" s="674"/>
      <c r="U284" s="674"/>
      <c r="V284" s="674">
        <v>90</v>
      </c>
      <c r="W284" s="674"/>
      <c r="X284" s="674"/>
      <c r="Y284" s="674"/>
      <c r="Z284" s="674"/>
      <c r="AA284" s="674"/>
      <c r="AB284" s="674"/>
      <c r="AC284" s="674"/>
      <c r="AD284" s="674"/>
      <c r="AE284" s="863">
        <v>1</v>
      </c>
      <c r="AF284" s="674"/>
      <c r="AG284" s="674"/>
      <c r="AH284" s="674"/>
      <c r="AI284" s="674"/>
      <c r="AJ284" s="674"/>
      <c r="AK284" s="674"/>
      <c r="AL284" s="674"/>
      <c r="AM284" s="674"/>
      <c r="AN284" s="674">
        <v>90</v>
      </c>
      <c r="AO284" s="674"/>
      <c r="AP284" s="674"/>
      <c r="AQ284" s="674"/>
    </row>
    <row r="285" spans="2:43">
      <c r="B285" s="818"/>
      <c r="C285" s="671"/>
      <c r="D285" s="672" t="str">
        <f>D256</f>
        <v xml:space="preserve">Purchase of Office furniture/ Equipments  </v>
      </c>
      <c r="E285" s="673"/>
      <c r="F285" s="673"/>
      <c r="G285" s="674"/>
      <c r="H285" s="674"/>
      <c r="I285" s="674"/>
      <c r="J285" s="674"/>
      <c r="K285" s="674"/>
      <c r="L285" s="674"/>
      <c r="M285" s="674"/>
      <c r="N285" s="674"/>
      <c r="O285" s="674"/>
      <c r="P285" s="674"/>
      <c r="Q285" s="674"/>
      <c r="R285" s="674"/>
      <c r="S285" s="674"/>
      <c r="T285" s="674"/>
      <c r="U285" s="674"/>
      <c r="V285" s="674">
        <v>25</v>
      </c>
      <c r="W285" s="674"/>
      <c r="X285" s="674"/>
      <c r="Y285" s="674"/>
      <c r="Z285" s="674"/>
      <c r="AA285" s="674"/>
      <c r="AB285" s="674"/>
      <c r="AC285" s="674"/>
      <c r="AD285" s="674"/>
      <c r="AE285" s="863">
        <v>1</v>
      </c>
      <c r="AF285" s="674"/>
      <c r="AG285" s="674"/>
      <c r="AH285" s="674"/>
      <c r="AI285" s="674"/>
      <c r="AJ285" s="674"/>
      <c r="AK285" s="674"/>
      <c r="AL285" s="674"/>
      <c r="AM285" s="674"/>
      <c r="AN285" s="674">
        <v>25</v>
      </c>
      <c r="AO285" s="674"/>
      <c r="AP285" s="674"/>
      <c r="AQ285" s="674"/>
    </row>
    <row r="286" spans="2:43" ht="28.5">
      <c r="B286" s="818"/>
      <c r="C286" s="671"/>
      <c r="D286" s="672" t="str">
        <f>D258</f>
        <v>Procurement of optimization tool software licence for SCED and SCUC in the State (GAMS)</v>
      </c>
      <c r="E286" s="673"/>
      <c r="F286" s="673"/>
      <c r="G286" s="674"/>
      <c r="H286" s="674"/>
      <c r="I286" s="674"/>
      <c r="J286" s="674"/>
      <c r="K286" s="674"/>
      <c r="L286" s="674"/>
      <c r="M286" s="674"/>
      <c r="N286" s="674"/>
      <c r="O286" s="674"/>
      <c r="P286" s="674"/>
      <c r="Q286" s="674"/>
      <c r="R286" s="674"/>
      <c r="S286" s="674"/>
      <c r="T286" s="674"/>
      <c r="U286" s="674"/>
      <c r="V286" s="674">
        <v>20</v>
      </c>
      <c r="W286" s="674"/>
      <c r="X286" s="674"/>
      <c r="Y286" s="674"/>
      <c r="Z286" s="674"/>
      <c r="AA286" s="674"/>
      <c r="AB286" s="674"/>
      <c r="AC286" s="674"/>
      <c r="AD286" s="674"/>
      <c r="AE286" s="674">
        <v>100</v>
      </c>
      <c r="AF286" s="674"/>
      <c r="AG286" s="674"/>
      <c r="AH286" s="674"/>
      <c r="AI286" s="674"/>
      <c r="AJ286" s="674"/>
      <c r="AK286" s="674"/>
      <c r="AL286" s="674"/>
      <c r="AM286" s="674"/>
      <c r="AN286" s="674">
        <v>20</v>
      </c>
      <c r="AO286" s="674"/>
      <c r="AP286" s="674"/>
      <c r="AQ286" s="674"/>
    </row>
    <row r="287" spans="2:43">
      <c r="B287" s="818"/>
      <c r="C287" s="926"/>
      <c r="D287" s="696" t="str">
        <f>D259</f>
        <v>ALDC building premises development Civil</v>
      </c>
      <c r="E287" s="697"/>
      <c r="F287" s="697"/>
      <c r="G287" s="674"/>
      <c r="H287" s="674"/>
      <c r="I287" s="674"/>
      <c r="J287" s="674"/>
      <c r="K287" s="674"/>
      <c r="L287" s="674"/>
      <c r="M287" s="674"/>
      <c r="N287" s="674"/>
      <c r="O287" s="674"/>
      <c r="P287" s="674"/>
      <c r="Q287" s="674"/>
      <c r="R287" s="674"/>
      <c r="S287" s="674"/>
      <c r="T287" s="674"/>
      <c r="U287" s="674"/>
      <c r="V287" s="674">
        <v>10</v>
      </c>
      <c r="W287" s="674"/>
      <c r="X287" s="674"/>
      <c r="Y287" s="674"/>
      <c r="Z287" s="674"/>
      <c r="AA287" s="674"/>
      <c r="AB287" s="674"/>
      <c r="AC287" s="674"/>
      <c r="AD287" s="674"/>
      <c r="AE287" s="674">
        <v>100</v>
      </c>
      <c r="AF287" s="674"/>
      <c r="AG287" s="674"/>
      <c r="AH287" s="674"/>
      <c r="AI287" s="674"/>
      <c r="AJ287" s="674"/>
      <c r="AK287" s="674"/>
      <c r="AL287" s="674"/>
      <c r="AM287" s="674"/>
      <c r="AN287" s="674">
        <v>10</v>
      </c>
      <c r="AO287" s="674"/>
      <c r="AP287" s="674"/>
      <c r="AQ287" s="674"/>
    </row>
    <row r="288" spans="2:43">
      <c r="B288" s="818"/>
      <c r="C288" s="926"/>
      <c r="D288" s="696" t="str">
        <f>D261</f>
        <v>Purchase of office equipememnt / furniture ALDC</v>
      </c>
      <c r="E288" s="697"/>
      <c r="F288" s="697"/>
      <c r="G288" s="674"/>
      <c r="H288" s="674"/>
      <c r="I288" s="674"/>
      <c r="J288" s="674"/>
      <c r="K288" s="674"/>
      <c r="L288" s="674"/>
      <c r="M288" s="674"/>
      <c r="N288" s="674"/>
      <c r="O288" s="674"/>
      <c r="P288" s="674"/>
      <c r="Q288" s="674"/>
      <c r="R288" s="674"/>
      <c r="S288" s="674"/>
      <c r="T288" s="674"/>
      <c r="U288" s="674"/>
      <c r="V288" s="674">
        <v>10</v>
      </c>
      <c r="W288" s="674"/>
      <c r="X288" s="674"/>
      <c r="Y288" s="674"/>
      <c r="Z288" s="674"/>
      <c r="AA288" s="674"/>
      <c r="AB288" s="674"/>
      <c r="AC288" s="674"/>
      <c r="AD288" s="674"/>
      <c r="AE288" s="674">
        <v>100</v>
      </c>
      <c r="AF288" s="674"/>
      <c r="AG288" s="674"/>
      <c r="AH288" s="674"/>
      <c r="AI288" s="674"/>
      <c r="AJ288" s="674"/>
      <c r="AK288" s="674"/>
      <c r="AL288" s="674"/>
      <c r="AM288" s="674"/>
      <c r="AN288" s="674">
        <v>10</v>
      </c>
      <c r="AO288" s="674"/>
      <c r="AP288" s="674"/>
      <c r="AQ288" s="674"/>
    </row>
    <row r="289" spans="2:43">
      <c r="B289" s="818"/>
      <c r="C289" s="926"/>
      <c r="D289" s="696" t="str">
        <f>D262</f>
        <v>Incendental SCADA ALDC</v>
      </c>
      <c r="E289" s="697"/>
      <c r="F289" s="697"/>
      <c r="G289" s="674"/>
      <c r="H289" s="674"/>
      <c r="I289" s="674"/>
      <c r="J289" s="674"/>
      <c r="K289" s="674"/>
      <c r="L289" s="674"/>
      <c r="M289" s="674"/>
      <c r="N289" s="674"/>
      <c r="O289" s="674"/>
      <c r="P289" s="674"/>
      <c r="Q289" s="674"/>
      <c r="R289" s="674"/>
      <c r="S289" s="674"/>
      <c r="T289" s="674"/>
      <c r="U289" s="674"/>
      <c r="V289" s="674">
        <v>10</v>
      </c>
      <c r="W289" s="674"/>
      <c r="X289" s="674"/>
      <c r="Y289" s="674"/>
      <c r="Z289" s="674"/>
      <c r="AA289" s="674"/>
      <c r="AB289" s="674"/>
      <c r="AC289" s="674"/>
      <c r="AD289" s="674"/>
      <c r="AE289" s="674">
        <v>100</v>
      </c>
      <c r="AF289" s="674"/>
      <c r="AG289" s="674"/>
      <c r="AH289" s="674"/>
      <c r="AI289" s="674"/>
      <c r="AJ289" s="674"/>
      <c r="AK289" s="674"/>
      <c r="AL289" s="674"/>
      <c r="AM289" s="674"/>
      <c r="AN289" s="674">
        <v>10</v>
      </c>
      <c r="AO289" s="674"/>
      <c r="AP289" s="674"/>
      <c r="AQ289" s="674"/>
    </row>
    <row r="290" spans="2:43" ht="15.75" thickBot="1">
      <c r="B290" s="818"/>
      <c r="C290" s="841"/>
      <c r="D290" s="749" t="str">
        <f>D263</f>
        <v>IT ALDC</v>
      </c>
      <c r="E290" s="750"/>
      <c r="F290" s="750"/>
      <c r="G290" s="674"/>
      <c r="H290" s="674"/>
      <c r="I290" s="674"/>
      <c r="J290" s="674"/>
      <c r="K290" s="674"/>
      <c r="L290" s="674"/>
      <c r="M290" s="674"/>
      <c r="N290" s="674"/>
      <c r="O290" s="674"/>
      <c r="P290" s="674"/>
      <c r="Q290" s="674"/>
      <c r="R290" s="674"/>
      <c r="S290" s="674"/>
      <c r="T290" s="674"/>
      <c r="U290" s="674"/>
      <c r="V290" s="674">
        <v>20</v>
      </c>
      <c r="W290" s="674"/>
      <c r="X290" s="674"/>
      <c r="Y290" s="674"/>
      <c r="Z290" s="674"/>
      <c r="AA290" s="674"/>
      <c r="AB290" s="674"/>
      <c r="AC290" s="674"/>
      <c r="AD290" s="674"/>
      <c r="AE290" s="674">
        <v>100</v>
      </c>
      <c r="AF290" s="674"/>
      <c r="AG290" s="674"/>
      <c r="AH290" s="674"/>
      <c r="AI290" s="674"/>
      <c r="AJ290" s="674"/>
      <c r="AK290" s="674"/>
      <c r="AL290" s="674"/>
      <c r="AM290" s="674"/>
      <c r="AN290" s="674">
        <v>20</v>
      </c>
      <c r="AO290" s="674"/>
      <c r="AP290" s="674"/>
      <c r="AQ290" s="674"/>
    </row>
    <row r="291" spans="2:43">
      <c r="B291" s="818"/>
      <c r="C291" s="842" t="s">
        <v>74</v>
      </c>
      <c r="D291" s="701"/>
      <c r="E291" s="668"/>
      <c r="F291" s="668"/>
      <c r="G291" s="674"/>
      <c r="H291" s="674"/>
      <c r="I291" s="674"/>
      <c r="J291" s="674"/>
      <c r="K291" s="674"/>
      <c r="L291" s="674"/>
      <c r="M291" s="674"/>
      <c r="N291" s="674"/>
      <c r="O291" s="674"/>
      <c r="P291" s="674"/>
      <c r="Q291" s="674"/>
      <c r="R291" s="674"/>
      <c r="S291" s="674"/>
      <c r="T291" s="674"/>
      <c r="U291" s="674"/>
      <c r="V291" s="674"/>
      <c r="W291" s="674"/>
      <c r="X291" s="674"/>
      <c r="Y291" s="674"/>
      <c r="Z291" s="674"/>
      <c r="AA291" s="674"/>
      <c r="AB291" s="674"/>
      <c r="AC291" s="674"/>
      <c r="AD291" s="674"/>
      <c r="AE291" s="674"/>
      <c r="AF291" s="674"/>
      <c r="AG291" s="674"/>
      <c r="AH291" s="674"/>
      <c r="AI291" s="674"/>
      <c r="AJ291" s="674"/>
      <c r="AK291" s="674"/>
      <c r="AL291" s="674"/>
      <c r="AM291" s="674"/>
      <c r="AN291" s="674"/>
      <c r="AO291" s="674"/>
      <c r="AP291" s="674"/>
      <c r="AQ291" s="674"/>
    </row>
    <row r="292" spans="2:43">
      <c r="B292" s="818"/>
      <c r="C292" s="671" t="s">
        <v>1779</v>
      </c>
      <c r="D292" s="672"/>
      <c r="E292" s="673"/>
      <c r="F292" s="673"/>
      <c r="G292" s="674"/>
      <c r="H292" s="674"/>
      <c r="I292" s="674"/>
      <c r="J292" s="674"/>
      <c r="K292" s="674"/>
      <c r="L292" s="674"/>
      <c r="M292" s="674"/>
      <c r="N292" s="674"/>
      <c r="O292" s="674"/>
      <c r="P292" s="674"/>
      <c r="Q292" s="674"/>
      <c r="R292" s="674"/>
      <c r="S292" s="674"/>
      <c r="T292" s="674"/>
      <c r="U292" s="674"/>
      <c r="V292" s="674"/>
      <c r="W292" s="674"/>
      <c r="X292" s="674"/>
      <c r="Y292" s="674"/>
      <c r="Z292" s="674"/>
      <c r="AA292" s="674"/>
      <c r="AB292" s="674"/>
      <c r="AC292" s="674"/>
      <c r="AD292" s="674"/>
      <c r="AE292" s="674"/>
      <c r="AF292" s="674"/>
      <c r="AG292" s="674"/>
      <c r="AH292" s="674"/>
      <c r="AI292" s="674"/>
      <c r="AJ292" s="674"/>
      <c r="AK292" s="674"/>
      <c r="AL292" s="674"/>
      <c r="AM292" s="674"/>
      <c r="AN292" s="674"/>
      <c r="AO292" s="674"/>
      <c r="AP292" s="674"/>
      <c r="AQ292" s="674"/>
    </row>
    <row r="293" spans="2:43">
      <c r="B293" s="818"/>
      <c r="C293" s="685" t="s">
        <v>278</v>
      </c>
      <c r="D293" s="672" t="s">
        <v>1761</v>
      </c>
      <c r="E293" s="673"/>
      <c r="F293" s="673"/>
      <c r="G293" s="674"/>
      <c r="H293" s="674"/>
      <c r="I293" s="674"/>
      <c r="J293" s="674"/>
      <c r="K293" s="674"/>
      <c r="L293" s="674"/>
      <c r="M293" s="674"/>
      <c r="N293" s="674"/>
      <c r="O293" s="674"/>
      <c r="P293" s="674"/>
      <c r="Q293" s="674"/>
      <c r="R293" s="674"/>
      <c r="S293" s="674"/>
      <c r="T293" s="674"/>
      <c r="U293" s="674"/>
      <c r="V293" s="674"/>
      <c r="W293" s="674">
        <v>0</v>
      </c>
      <c r="X293" s="674"/>
      <c r="Y293" s="674"/>
      <c r="Z293" s="674"/>
      <c r="AA293" s="674"/>
      <c r="AB293" s="674"/>
      <c r="AC293" s="674"/>
      <c r="AD293" s="674"/>
      <c r="AE293" s="674"/>
      <c r="AF293" s="863">
        <v>0</v>
      </c>
      <c r="AG293" s="674"/>
      <c r="AH293" s="674"/>
      <c r="AI293" s="674"/>
      <c r="AJ293" s="674"/>
      <c r="AK293" s="674"/>
      <c r="AL293" s="674"/>
      <c r="AM293" s="674"/>
      <c r="AN293" s="674"/>
      <c r="AO293" s="674">
        <v>600</v>
      </c>
      <c r="AP293" s="674"/>
      <c r="AQ293" s="674"/>
    </row>
    <row r="294" spans="2:43" ht="28.5">
      <c r="B294" s="818"/>
      <c r="C294" s="685"/>
      <c r="D294" s="672" t="s">
        <v>1885</v>
      </c>
      <c r="E294" s="673"/>
      <c r="F294" s="673"/>
      <c r="G294" s="674"/>
      <c r="H294" s="674"/>
      <c r="I294" s="674"/>
      <c r="J294" s="674"/>
      <c r="K294" s="674"/>
      <c r="L294" s="674"/>
      <c r="M294" s="674"/>
      <c r="N294" s="674"/>
      <c r="O294" s="674"/>
      <c r="P294" s="674"/>
      <c r="Q294" s="674"/>
      <c r="R294" s="674"/>
      <c r="S294" s="674"/>
      <c r="T294" s="674"/>
      <c r="U294" s="674"/>
      <c r="V294" s="674"/>
      <c r="W294" s="674">
        <v>100</v>
      </c>
      <c r="X294" s="674"/>
      <c r="Y294" s="674"/>
      <c r="Z294" s="674"/>
      <c r="AA294" s="674"/>
      <c r="AB294" s="863"/>
      <c r="AC294" s="863"/>
      <c r="AD294" s="863"/>
      <c r="AE294" s="863"/>
      <c r="AF294" s="863">
        <v>1</v>
      </c>
      <c r="AG294" s="674"/>
      <c r="AH294" s="674"/>
      <c r="AI294" s="674"/>
      <c r="AJ294" s="674"/>
      <c r="AK294" s="674"/>
      <c r="AL294" s="674"/>
      <c r="AM294" s="674"/>
      <c r="AN294" s="674"/>
      <c r="AO294" s="674">
        <v>100</v>
      </c>
      <c r="AP294" s="674"/>
      <c r="AQ294" s="674"/>
    </row>
    <row r="295" spans="2:43" ht="28.5">
      <c r="B295" s="818"/>
      <c r="C295" s="685"/>
      <c r="D295" s="672" t="s">
        <v>1730</v>
      </c>
      <c r="E295" s="673"/>
      <c r="F295" s="673"/>
      <c r="G295" s="674"/>
      <c r="H295" s="674"/>
      <c r="I295" s="674"/>
      <c r="J295" s="674"/>
      <c r="K295" s="674"/>
      <c r="L295" s="674"/>
      <c r="M295" s="674"/>
      <c r="N295" s="674"/>
      <c r="O295" s="674"/>
      <c r="P295" s="674"/>
      <c r="Q295" s="674"/>
      <c r="R295" s="674"/>
      <c r="S295" s="674"/>
      <c r="T295" s="674"/>
      <c r="U295" s="674"/>
      <c r="V295" s="674"/>
      <c r="W295" s="674">
        <v>100</v>
      </c>
      <c r="X295" s="674"/>
      <c r="Y295" s="674"/>
      <c r="Z295" s="674"/>
      <c r="AA295" s="674"/>
      <c r="AB295" s="674"/>
      <c r="AC295" s="674"/>
      <c r="AD295" s="674"/>
      <c r="AE295" s="674"/>
      <c r="AF295" s="674">
        <v>100</v>
      </c>
      <c r="AG295" s="674"/>
      <c r="AH295" s="674"/>
      <c r="AI295" s="674"/>
      <c r="AJ295" s="674"/>
      <c r="AK295" s="674"/>
      <c r="AL295" s="674"/>
      <c r="AM295" s="674"/>
      <c r="AN295" s="674"/>
      <c r="AO295" s="674">
        <v>100</v>
      </c>
      <c r="AP295" s="674"/>
      <c r="AQ295" s="674"/>
    </row>
    <row r="296" spans="2:43" ht="28.5">
      <c r="B296" s="818"/>
      <c r="C296" s="685"/>
      <c r="D296" s="672" t="s">
        <v>1883</v>
      </c>
      <c r="E296" s="673"/>
      <c r="F296" s="673"/>
      <c r="G296" s="674"/>
      <c r="H296" s="674"/>
      <c r="I296" s="674"/>
      <c r="J296" s="674"/>
      <c r="K296" s="674"/>
      <c r="L296" s="674"/>
      <c r="M296" s="674"/>
      <c r="N296" s="674"/>
      <c r="O296" s="674"/>
      <c r="P296" s="674"/>
      <c r="Q296" s="674"/>
      <c r="R296" s="674"/>
      <c r="S296" s="674"/>
      <c r="T296" s="674"/>
      <c r="U296" s="674"/>
      <c r="V296" s="674"/>
      <c r="W296" s="674">
        <v>1000</v>
      </c>
      <c r="X296" s="674"/>
      <c r="Y296" s="674"/>
      <c r="Z296" s="674"/>
      <c r="AA296" s="674"/>
      <c r="AB296" s="674"/>
      <c r="AC296" s="674"/>
      <c r="AD296" s="674"/>
      <c r="AE296" s="674"/>
      <c r="AF296" s="916">
        <v>0.33329999999999999</v>
      </c>
      <c r="AG296" s="674"/>
      <c r="AH296" s="674"/>
      <c r="AI296" s="674"/>
      <c r="AJ296" s="674"/>
      <c r="AK296" s="674"/>
      <c r="AL296" s="674"/>
      <c r="AM296" s="674"/>
      <c r="AN296" s="674"/>
      <c r="AO296" s="674">
        <v>2000</v>
      </c>
      <c r="AP296" s="674"/>
      <c r="AQ296" s="674"/>
    </row>
    <row r="297" spans="2:43" ht="28.5">
      <c r="B297" s="818"/>
      <c r="C297" s="685"/>
      <c r="D297" s="672" t="str">
        <f>D271</f>
        <v>Development of PSS-wise RE Forecasting Software for MSLDC (change request)</v>
      </c>
      <c r="E297" s="673"/>
      <c r="F297" s="673"/>
      <c r="G297" s="674"/>
      <c r="H297" s="674"/>
      <c r="I297" s="674"/>
      <c r="J297" s="674"/>
      <c r="K297" s="674"/>
      <c r="L297" s="674"/>
      <c r="M297" s="674"/>
      <c r="N297" s="674"/>
      <c r="O297" s="674"/>
      <c r="P297" s="674"/>
      <c r="Q297" s="674"/>
      <c r="R297" s="674"/>
      <c r="S297" s="674"/>
      <c r="T297" s="674"/>
      <c r="U297" s="674"/>
      <c r="V297" s="674"/>
      <c r="W297" s="674">
        <v>50</v>
      </c>
      <c r="X297" s="674"/>
      <c r="Y297" s="674"/>
      <c r="Z297" s="674"/>
      <c r="AA297" s="674"/>
      <c r="AB297" s="674"/>
      <c r="AC297" s="674"/>
      <c r="AD297" s="674"/>
      <c r="AE297" s="674"/>
      <c r="AF297" s="916">
        <v>1</v>
      </c>
      <c r="AG297" s="674"/>
      <c r="AH297" s="674"/>
      <c r="AI297" s="674"/>
      <c r="AJ297" s="674"/>
      <c r="AK297" s="674"/>
      <c r="AL297" s="674"/>
      <c r="AM297" s="674"/>
      <c r="AN297" s="674"/>
      <c r="AO297" s="674">
        <v>50</v>
      </c>
      <c r="AP297" s="674"/>
      <c r="AQ297" s="674"/>
    </row>
    <row r="298" spans="2:43" ht="42.75">
      <c r="B298" s="818"/>
      <c r="C298" s="685"/>
      <c r="D298" s="892" t="s">
        <v>1891</v>
      </c>
      <c r="E298" s="673"/>
      <c r="F298" s="673"/>
      <c r="G298" s="674"/>
      <c r="H298" s="674"/>
      <c r="I298" s="674"/>
      <c r="J298" s="674"/>
      <c r="K298" s="674"/>
      <c r="L298" s="674"/>
      <c r="M298" s="674"/>
      <c r="N298" s="674"/>
      <c r="O298" s="674"/>
      <c r="P298" s="674"/>
      <c r="Q298" s="674"/>
      <c r="R298" s="674"/>
      <c r="S298" s="674"/>
      <c r="T298" s="674"/>
      <c r="U298" s="674"/>
      <c r="V298" s="674"/>
      <c r="W298" s="674">
        <v>25</v>
      </c>
      <c r="X298" s="674"/>
      <c r="Y298" s="674"/>
      <c r="Z298" s="674"/>
      <c r="AA298" s="674"/>
      <c r="AB298" s="674"/>
      <c r="AC298" s="674"/>
      <c r="AD298" s="674"/>
      <c r="AE298" s="674"/>
      <c r="AF298" s="916">
        <v>1</v>
      </c>
      <c r="AG298" s="674"/>
      <c r="AH298" s="674"/>
      <c r="AI298" s="674"/>
      <c r="AJ298" s="674"/>
      <c r="AK298" s="674"/>
      <c r="AL298" s="674"/>
      <c r="AM298" s="674"/>
      <c r="AN298" s="674"/>
      <c r="AO298" s="674">
        <v>25</v>
      </c>
      <c r="AP298" s="674"/>
      <c r="AQ298" s="674"/>
    </row>
    <row r="299" spans="2:43" ht="42.75">
      <c r="B299" s="818"/>
      <c r="C299" s="685"/>
      <c r="D299" s="946" t="s">
        <v>1892</v>
      </c>
      <c r="E299" s="673"/>
      <c r="F299" s="673"/>
      <c r="G299" s="674"/>
      <c r="H299" s="674"/>
      <c r="I299" s="674"/>
      <c r="J299" s="674"/>
      <c r="K299" s="674"/>
      <c r="L299" s="674"/>
      <c r="M299" s="674"/>
      <c r="N299" s="674"/>
      <c r="O299" s="674"/>
      <c r="P299" s="674"/>
      <c r="Q299" s="674"/>
      <c r="R299" s="674"/>
      <c r="S299" s="674"/>
      <c r="T299" s="674"/>
      <c r="U299" s="674"/>
      <c r="V299" s="674"/>
      <c r="W299" s="674">
        <v>100</v>
      </c>
      <c r="X299" s="674"/>
      <c r="Y299" s="674"/>
      <c r="Z299" s="674"/>
      <c r="AA299" s="674"/>
      <c r="AB299" s="674"/>
      <c r="AC299" s="674"/>
      <c r="AD299" s="674"/>
      <c r="AE299" s="674"/>
      <c r="AF299" s="916"/>
      <c r="AG299" s="674"/>
      <c r="AH299" s="674"/>
      <c r="AI299" s="674"/>
      <c r="AJ299" s="674"/>
      <c r="AK299" s="674"/>
      <c r="AL299" s="674"/>
      <c r="AM299" s="674"/>
      <c r="AN299" s="674"/>
      <c r="AO299" s="674">
        <v>100</v>
      </c>
      <c r="AP299" s="674"/>
      <c r="AQ299" s="674"/>
    </row>
    <row r="300" spans="2:43" ht="28.5">
      <c r="B300" s="818"/>
      <c r="C300" s="685"/>
      <c r="D300" s="672" t="str">
        <f>D275</f>
        <v xml:space="preserve">Development of New QCA REDSM software based on MERC(F&amp;S) First ammendment notification.  </v>
      </c>
      <c r="E300" s="673"/>
      <c r="F300" s="673"/>
      <c r="G300" s="674"/>
      <c r="H300" s="674"/>
      <c r="I300" s="674"/>
      <c r="J300" s="674"/>
      <c r="K300" s="674"/>
      <c r="L300" s="674"/>
      <c r="M300" s="674"/>
      <c r="N300" s="674"/>
      <c r="O300" s="674"/>
      <c r="P300" s="674"/>
      <c r="Q300" s="674"/>
      <c r="R300" s="674"/>
      <c r="S300" s="674"/>
      <c r="T300" s="674"/>
      <c r="U300" s="674"/>
      <c r="V300" s="674"/>
      <c r="W300" s="674">
        <v>150</v>
      </c>
      <c r="X300" s="674"/>
      <c r="Y300" s="674"/>
      <c r="Z300" s="674"/>
      <c r="AA300" s="674"/>
      <c r="AB300" s="674"/>
      <c r="AC300" s="674"/>
      <c r="AD300" s="674"/>
      <c r="AE300" s="674"/>
      <c r="AF300" s="916">
        <v>1</v>
      </c>
      <c r="AG300" s="674"/>
      <c r="AH300" s="674"/>
      <c r="AI300" s="674"/>
      <c r="AJ300" s="674"/>
      <c r="AK300" s="674"/>
      <c r="AL300" s="674"/>
      <c r="AM300" s="674"/>
      <c r="AN300" s="674"/>
      <c r="AO300" s="674">
        <v>150</v>
      </c>
      <c r="AP300" s="674"/>
      <c r="AQ300" s="674"/>
    </row>
    <row r="301" spans="2:43">
      <c r="B301" s="818"/>
      <c r="C301" s="685"/>
      <c r="D301" s="672" t="str">
        <f>D270</f>
        <v>Change Request for modification in DSM software</v>
      </c>
      <c r="E301" s="673"/>
      <c r="F301" s="673"/>
      <c r="G301" s="674"/>
      <c r="H301" s="674"/>
      <c r="I301" s="674"/>
      <c r="J301" s="674"/>
      <c r="K301" s="674"/>
      <c r="L301" s="674"/>
      <c r="M301" s="674"/>
      <c r="N301" s="674"/>
      <c r="O301" s="674"/>
      <c r="P301" s="674"/>
      <c r="Q301" s="674"/>
      <c r="R301" s="674"/>
      <c r="S301" s="674"/>
      <c r="T301" s="674"/>
      <c r="U301" s="674"/>
      <c r="V301" s="674"/>
      <c r="W301" s="674">
        <v>100</v>
      </c>
      <c r="X301" s="674"/>
      <c r="Y301" s="674"/>
      <c r="Z301" s="674"/>
      <c r="AA301" s="674"/>
      <c r="AB301" s="674"/>
      <c r="AC301" s="674"/>
      <c r="AD301" s="674"/>
      <c r="AE301" s="674"/>
      <c r="AF301" s="916">
        <v>1</v>
      </c>
      <c r="AG301" s="674"/>
      <c r="AH301" s="674"/>
      <c r="AI301" s="674"/>
      <c r="AJ301" s="674"/>
      <c r="AK301" s="674"/>
      <c r="AL301" s="674"/>
      <c r="AM301" s="674"/>
      <c r="AN301" s="674"/>
      <c r="AO301" s="674">
        <v>100</v>
      </c>
      <c r="AP301" s="674"/>
      <c r="AQ301" s="674"/>
    </row>
    <row r="302" spans="2:43">
      <c r="B302" s="818"/>
      <c r="C302" s="685"/>
      <c r="D302" s="672" t="str">
        <f>D276</f>
        <v>Development of data handling platform analytical software</v>
      </c>
      <c r="E302" s="673"/>
      <c r="F302" s="673"/>
      <c r="G302" s="674"/>
      <c r="H302" s="674"/>
      <c r="I302" s="674"/>
      <c r="J302" s="674"/>
      <c r="K302" s="674"/>
      <c r="L302" s="674"/>
      <c r="M302" s="674"/>
      <c r="N302" s="674"/>
      <c r="O302" s="674"/>
      <c r="P302" s="674"/>
      <c r="Q302" s="674"/>
      <c r="R302" s="674"/>
      <c r="S302" s="674"/>
      <c r="T302" s="674"/>
      <c r="U302" s="674"/>
      <c r="V302" s="674"/>
      <c r="W302" s="674">
        <v>100</v>
      </c>
      <c r="X302" s="674"/>
      <c r="Y302" s="674"/>
      <c r="Z302" s="674"/>
      <c r="AA302" s="674"/>
      <c r="AB302" s="674"/>
      <c r="AC302" s="674"/>
      <c r="AD302" s="674"/>
      <c r="AE302" s="674"/>
      <c r="AF302" s="916">
        <v>1</v>
      </c>
      <c r="AG302" s="674"/>
      <c r="AH302" s="674"/>
      <c r="AI302" s="674"/>
      <c r="AJ302" s="674"/>
      <c r="AK302" s="674"/>
      <c r="AL302" s="674"/>
      <c r="AM302" s="674"/>
      <c r="AN302" s="674"/>
      <c r="AO302" s="674">
        <v>100</v>
      </c>
      <c r="AP302" s="674"/>
      <c r="AQ302" s="674"/>
    </row>
    <row r="303" spans="2:43" ht="28.5">
      <c r="B303" s="818"/>
      <c r="C303" s="685"/>
      <c r="D303" s="672" t="str">
        <f>D277</f>
        <v>Procurement of optimization tool software licence for SCED and SCUC in the State along with resource adequacy tool</v>
      </c>
      <c r="E303" s="673"/>
      <c r="F303" s="673"/>
      <c r="G303" s="674"/>
      <c r="H303" s="674"/>
      <c r="I303" s="674"/>
      <c r="J303" s="674"/>
      <c r="K303" s="674"/>
      <c r="L303" s="674"/>
      <c r="M303" s="674"/>
      <c r="N303" s="674"/>
      <c r="O303" s="674"/>
      <c r="P303" s="674"/>
      <c r="Q303" s="674"/>
      <c r="R303" s="674"/>
      <c r="S303" s="674"/>
      <c r="T303" s="674"/>
      <c r="U303" s="674"/>
      <c r="V303" s="674"/>
      <c r="W303" s="674">
        <v>50</v>
      </c>
      <c r="X303" s="674"/>
      <c r="Y303" s="674"/>
      <c r="Z303" s="674"/>
      <c r="AA303" s="674"/>
      <c r="AB303" s="674"/>
      <c r="AC303" s="674"/>
      <c r="AD303" s="674"/>
      <c r="AE303" s="674"/>
      <c r="AF303" s="916">
        <v>1</v>
      </c>
      <c r="AG303" s="674"/>
      <c r="AH303" s="674"/>
      <c r="AI303" s="674"/>
      <c r="AJ303" s="674"/>
      <c r="AK303" s="674"/>
      <c r="AL303" s="674"/>
      <c r="AM303" s="674"/>
      <c r="AN303" s="674"/>
      <c r="AO303" s="674">
        <v>50</v>
      </c>
      <c r="AP303" s="674"/>
      <c r="AQ303" s="674"/>
    </row>
    <row r="304" spans="2:43" ht="28.5">
      <c r="B304" s="818"/>
      <c r="C304" s="685"/>
      <c r="D304" s="672" t="s">
        <v>1746</v>
      </c>
      <c r="E304" s="673"/>
      <c r="F304" s="673"/>
      <c r="G304" s="674"/>
      <c r="H304" s="674"/>
      <c r="I304" s="674"/>
      <c r="J304" s="674"/>
      <c r="K304" s="674"/>
      <c r="L304" s="674"/>
      <c r="M304" s="674"/>
      <c r="N304" s="674"/>
      <c r="O304" s="674"/>
      <c r="P304" s="674"/>
      <c r="Q304" s="674"/>
      <c r="R304" s="674"/>
      <c r="S304" s="674"/>
      <c r="T304" s="674"/>
      <c r="U304" s="674"/>
      <c r="V304" s="674"/>
      <c r="W304" s="674">
        <v>100</v>
      </c>
      <c r="X304" s="674"/>
      <c r="Y304" s="674"/>
      <c r="Z304" s="674"/>
      <c r="AA304" s="674"/>
      <c r="AB304" s="674"/>
      <c r="AC304" s="674"/>
      <c r="AD304" s="674"/>
      <c r="AE304" s="674"/>
      <c r="AF304" s="674">
        <v>100</v>
      </c>
      <c r="AG304" s="674"/>
      <c r="AH304" s="674"/>
      <c r="AI304" s="674"/>
      <c r="AJ304" s="674"/>
      <c r="AK304" s="674"/>
      <c r="AL304" s="674"/>
      <c r="AM304" s="674"/>
      <c r="AN304" s="674"/>
      <c r="AO304" s="674">
        <v>100</v>
      </c>
      <c r="AP304" s="674"/>
      <c r="AQ304" s="674"/>
    </row>
    <row r="305" spans="2:43">
      <c r="B305" s="818"/>
      <c r="C305" s="704" t="s">
        <v>1786</v>
      </c>
      <c r="D305" s="672"/>
      <c r="E305" s="673"/>
      <c r="F305" s="673"/>
      <c r="G305" s="674"/>
      <c r="H305" s="674"/>
      <c r="I305" s="674"/>
      <c r="J305" s="674"/>
      <c r="K305" s="674"/>
      <c r="L305" s="674"/>
      <c r="M305" s="674"/>
      <c r="N305" s="674"/>
      <c r="O305" s="674"/>
      <c r="P305" s="674"/>
      <c r="Q305" s="674"/>
      <c r="R305" s="674"/>
      <c r="S305" s="674"/>
      <c r="T305" s="674"/>
      <c r="U305" s="674"/>
      <c r="V305" s="674"/>
      <c r="W305" s="674"/>
      <c r="X305" s="674"/>
      <c r="Y305" s="674"/>
      <c r="Z305" s="674"/>
      <c r="AA305" s="674"/>
      <c r="AB305" s="674"/>
      <c r="AC305" s="674"/>
      <c r="AD305" s="674"/>
      <c r="AE305" s="674"/>
      <c r="AF305" s="674"/>
      <c r="AG305" s="674"/>
      <c r="AH305" s="674"/>
      <c r="AI305" s="674"/>
      <c r="AJ305" s="674"/>
      <c r="AK305" s="674"/>
      <c r="AL305" s="674"/>
      <c r="AM305" s="674"/>
      <c r="AN305" s="674"/>
      <c r="AO305" s="674"/>
      <c r="AP305" s="674"/>
      <c r="AQ305" s="674"/>
    </row>
    <row r="306" spans="2:43">
      <c r="B306" s="818"/>
      <c r="C306" s="685"/>
      <c r="D306" s="672" t="s">
        <v>1739</v>
      </c>
      <c r="E306" s="673"/>
      <c r="F306" s="673"/>
      <c r="G306" s="674"/>
      <c r="H306" s="674"/>
      <c r="I306" s="674"/>
      <c r="J306" s="674"/>
      <c r="K306" s="674"/>
      <c r="L306" s="674"/>
      <c r="M306" s="674"/>
      <c r="N306" s="674"/>
      <c r="O306" s="674"/>
      <c r="P306" s="674"/>
      <c r="Q306" s="674"/>
      <c r="R306" s="674"/>
      <c r="S306" s="674"/>
      <c r="T306" s="674"/>
      <c r="U306" s="674"/>
      <c r="V306" s="674"/>
      <c r="W306" s="674">
        <v>50</v>
      </c>
      <c r="X306" s="674"/>
      <c r="Y306" s="674"/>
      <c r="Z306" s="674"/>
      <c r="AA306" s="674"/>
      <c r="AB306" s="674"/>
      <c r="AC306" s="674"/>
      <c r="AD306" s="674"/>
      <c r="AE306" s="674"/>
      <c r="AF306" s="863">
        <v>1</v>
      </c>
      <c r="AG306" s="674"/>
      <c r="AH306" s="674"/>
      <c r="AI306" s="674"/>
      <c r="AJ306" s="674"/>
      <c r="AK306" s="674"/>
      <c r="AL306" s="674"/>
      <c r="AM306" s="674"/>
      <c r="AN306" s="674"/>
      <c r="AO306" s="674">
        <v>50</v>
      </c>
      <c r="AP306" s="674"/>
      <c r="AQ306" s="674"/>
    </row>
    <row r="307" spans="2:43">
      <c r="B307" s="818"/>
      <c r="C307" s="685"/>
      <c r="D307" s="672" t="s">
        <v>1740</v>
      </c>
      <c r="E307" s="673"/>
      <c r="F307" s="673"/>
      <c r="G307" s="674"/>
      <c r="H307" s="674"/>
      <c r="I307" s="674"/>
      <c r="J307" s="674"/>
      <c r="K307" s="674"/>
      <c r="L307" s="674"/>
      <c r="M307" s="674"/>
      <c r="N307" s="674"/>
      <c r="O307" s="674"/>
      <c r="P307" s="674"/>
      <c r="Q307" s="674"/>
      <c r="R307" s="674"/>
      <c r="S307" s="674"/>
      <c r="T307" s="674"/>
      <c r="U307" s="674"/>
      <c r="V307" s="674"/>
      <c r="W307" s="674">
        <v>10</v>
      </c>
      <c r="X307" s="674"/>
      <c r="Y307" s="674"/>
      <c r="Z307" s="674"/>
      <c r="AA307" s="674"/>
      <c r="AB307" s="674"/>
      <c r="AC307" s="674"/>
      <c r="AD307" s="674"/>
      <c r="AE307" s="674"/>
      <c r="AF307" s="863">
        <v>1</v>
      </c>
      <c r="AG307" s="674"/>
      <c r="AH307" s="674"/>
      <c r="AI307" s="674"/>
      <c r="AJ307" s="674"/>
      <c r="AK307" s="674"/>
      <c r="AL307" s="674"/>
      <c r="AM307" s="674"/>
      <c r="AN307" s="674"/>
      <c r="AO307" s="674">
        <v>10</v>
      </c>
      <c r="AP307" s="674"/>
      <c r="AQ307" s="674"/>
    </row>
    <row r="308" spans="2:43" ht="28.5">
      <c r="B308" s="818"/>
      <c r="C308" s="936"/>
      <c r="D308" s="672" t="s">
        <v>1745</v>
      </c>
      <c r="E308" s="673"/>
      <c r="F308" s="673"/>
      <c r="G308" s="674"/>
      <c r="H308" s="674"/>
      <c r="I308" s="674"/>
      <c r="J308" s="674"/>
      <c r="K308" s="674"/>
      <c r="L308" s="674"/>
      <c r="M308" s="674"/>
      <c r="N308" s="674"/>
      <c r="O308" s="674"/>
      <c r="P308" s="674"/>
      <c r="Q308" s="674"/>
      <c r="R308" s="674"/>
      <c r="S308" s="674"/>
      <c r="T308" s="674"/>
      <c r="U308" s="674"/>
      <c r="V308" s="674"/>
      <c r="W308" s="674">
        <v>50</v>
      </c>
      <c r="X308" s="674"/>
      <c r="Y308" s="674"/>
      <c r="Z308" s="674"/>
      <c r="AA308" s="674"/>
      <c r="AB308" s="674"/>
      <c r="AC308" s="674"/>
      <c r="AD308" s="674"/>
      <c r="AE308" s="674"/>
      <c r="AF308" s="674">
        <v>100</v>
      </c>
      <c r="AG308" s="674"/>
      <c r="AH308" s="674"/>
      <c r="AI308" s="674"/>
      <c r="AJ308" s="674"/>
      <c r="AK308" s="674"/>
      <c r="AL308" s="674"/>
      <c r="AM308" s="674"/>
      <c r="AN308" s="674"/>
      <c r="AO308" s="674">
        <v>50</v>
      </c>
      <c r="AP308" s="674"/>
      <c r="AQ308" s="674"/>
    </row>
    <row r="309" spans="2:43" ht="28.5">
      <c r="B309" s="818"/>
      <c r="C309" s="685"/>
      <c r="D309" s="672" t="s">
        <v>1791</v>
      </c>
      <c r="E309" s="673"/>
      <c r="F309" s="673"/>
      <c r="G309" s="674"/>
      <c r="H309" s="674"/>
      <c r="I309" s="674"/>
      <c r="J309" s="674"/>
      <c r="K309" s="674"/>
      <c r="L309" s="674"/>
      <c r="M309" s="674"/>
      <c r="N309" s="674"/>
      <c r="O309" s="674"/>
      <c r="P309" s="674"/>
      <c r="Q309" s="674"/>
      <c r="R309" s="674"/>
      <c r="S309" s="674"/>
      <c r="T309" s="674"/>
      <c r="U309" s="674"/>
      <c r="V309" s="674"/>
      <c r="W309" s="674">
        <v>25</v>
      </c>
      <c r="X309" s="674"/>
      <c r="Y309" s="674"/>
      <c r="Z309" s="674"/>
      <c r="AA309" s="674"/>
      <c r="AB309" s="674"/>
      <c r="AC309" s="674"/>
      <c r="AD309" s="674"/>
      <c r="AE309" s="674"/>
      <c r="AF309" s="674">
        <v>100</v>
      </c>
      <c r="AG309" s="674"/>
      <c r="AH309" s="674"/>
      <c r="AI309" s="674"/>
      <c r="AJ309" s="674"/>
      <c r="AK309" s="674"/>
      <c r="AL309" s="674"/>
      <c r="AM309" s="674"/>
      <c r="AN309" s="674"/>
      <c r="AO309" s="674">
        <v>25</v>
      </c>
      <c r="AP309" s="674"/>
      <c r="AQ309" s="674"/>
    </row>
    <row r="310" spans="2:43" ht="28.5">
      <c r="B310" s="818"/>
      <c r="C310" s="685"/>
      <c r="D310" s="672" t="s">
        <v>1747</v>
      </c>
      <c r="E310" s="673"/>
      <c r="F310" s="673"/>
      <c r="G310" s="674"/>
      <c r="H310" s="674"/>
      <c r="I310" s="674"/>
      <c r="J310" s="674"/>
      <c r="K310" s="674"/>
      <c r="L310" s="674"/>
      <c r="M310" s="674"/>
      <c r="N310" s="674"/>
      <c r="O310" s="674"/>
      <c r="P310" s="674"/>
      <c r="Q310" s="674"/>
      <c r="R310" s="674"/>
      <c r="S310" s="674"/>
      <c r="T310" s="674"/>
      <c r="U310" s="674"/>
      <c r="V310" s="674"/>
      <c r="W310" s="674">
        <v>80</v>
      </c>
      <c r="X310" s="674"/>
      <c r="Y310" s="674"/>
      <c r="Z310" s="674"/>
      <c r="AA310" s="674"/>
      <c r="AB310" s="674"/>
      <c r="AC310" s="674"/>
      <c r="AD310" s="674"/>
      <c r="AE310" s="674"/>
      <c r="AF310" s="863">
        <v>1</v>
      </c>
      <c r="AG310" s="674"/>
      <c r="AH310" s="674"/>
      <c r="AI310" s="674"/>
      <c r="AJ310" s="674"/>
      <c r="AK310" s="674"/>
      <c r="AL310" s="674"/>
      <c r="AM310" s="674"/>
      <c r="AN310" s="674"/>
      <c r="AO310" s="674">
        <v>80</v>
      </c>
      <c r="AP310" s="674"/>
      <c r="AQ310" s="674"/>
    </row>
    <row r="311" spans="2:43">
      <c r="B311" s="818"/>
      <c r="C311" s="685"/>
      <c r="D311" s="672" t="s">
        <v>1886</v>
      </c>
      <c r="E311" s="673"/>
      <c r="F311" s="673"/>
      <c r="G311" s="674"/>
      <c r="H311" s="674"/>
      <c r="I311" s="674"/>
      <c r="J311" s="674"/>
      <c r="K311" s="674"/>
      <c r="L311" s="674"/>
      <c r="M311" s="674"/>
      <c r="N311" s="674"/>
      <c r="O311" s="674"/>
      <c r="P311" s="674"/>
      <c r="Q311" s="674"/>
      <c r="R311" s="674"/>
      <c r="S311" s="674"/>
      <c r="T311" s="674"/>
      <c r="U311" s="674"/>
      <c r="V311" s="674"/>
      <c r="W311" s="674">
        <v>0</v>
      </c>
      <c r="X311" s="674"/>
      <c r="Y311" s="674"/>
      <c r="Z311" s="674"/>
      <c r="AA311" s="674"/>
      <c r="AB311" s="674"/>
      <c r="AC311" s="674"/>
      <c r="AD311" s="674"/>
      <c r="AE311" s="674"/>
      <c r="AF311" s="863">
        <v>0</v>
      </c>
      <c r="AG311" s="674"/>
      <c r="AH311" s="674"/>
      <c r="AI311" s="674"/>
      <c r="AJ311" s="674"/>
      <c r="AK311" s="674"/>
      <c r="AL311" s="674"/>
      <c r="AM311" s="674"/>
      <c r="AN311" s="674"/>
      <c r="AO311" s="674">
        <v>0</v>
      </c>
      <c r="AP311" s="674"/>
      <c r="AQ311" s="674"/>
    </row>
    <row r="312" spans="2:43" ht="28.5">
      <c r="B312" s="818"/>
      <c r="C312" s="927"/>
      <c r="D312" s="696" t="str">
        <f>D258</f>
        <v>Procurement of optimization tool software licence for SCED and SCUC in the State (GAMS)</v>
      </c>
      <c r="E312" s="697"/>
      <c r="F312" s="697"/>
      <c r="G312" s="674"/>
      <c r="H312" s="674"/>
      <c r="I312" s="674"/>
      <c r="J312" s="674"/>
      <c r="K312" s="674"/>
      <c r="L312" s="674"/>
      <c r="M312" s="674"/>
      <c r="N312" s="674"/>
      <c r="O312" s="674"/>
      <c r="P312" s="674"/>
      <c r="Q312" s="674"/>
      <c r="R312" s="674"/>
      <c r="S312" s="674"/>
      <c r="T312" s="674"/>
      <c r="U312" s="674"/>
      <c r="V312" s="674"/>
      <c r="W312" s="674">
        <v>20</v>
      </c>
      <c r="X312" s="674"/>
      <c r="Y312" s="674"/>
      <c r="Z312" s="674"/>
      <c r="AA312" s="674"/>
      <c r="AB312" s="674"/>
      <c r="AC312" s="674"/>
      <c r="AD312" s="674"/>
      <c r="AE312" s="674"/>
      <c r="AF312" s="863">
        <v>1</v>
      </c>
      <c r="AG312" s="674"/>
      <c r="AH312" s="674"/>
      <c r="AI312" s="674"/>
      <c r="AJ312" s="674"/>
      <c r="AK312" s="674"/>
      <c r="AL312" s="674"/>
      <c r="AM312" s="674"/>
      <c r="AN312" s="674"/>
      <c r="AO312" s="674">
        <v>20</v>
      </c>
      <c r="AP312" s="674"/>
      <c r="AQ312" s="674"/>
    </row>
    <row r="313" spans="2:43">
      <c r="B313" s="818"/>
      <c r="C313" s="927"/>
      <c r="D313" s="696" t="str">
        <f>D287</f>
        <v>ALDC building premises development Civil</v>
      </c>
      <c r="E313" s="697"/>
      <c r="F313" s="697"/>
      <c r="G313" s="674"/>
      <c r="H313" s="674"/>
      <c r="I313" s="674"/>
      <c r="J313" s="674"/>
      <c r="K313" s="674"/>
      <c r="L313" s="674"/>
      <c r="M313" s="674"/>
      <c r="N313" s="674"/>
      <c r="O313" s="674"/>
      <c r="P313" s="674"/>
      <c r="Q313" s="674"/>
      <c r="R313" s="674"/>
      <c r="S313" s="674"/>
      <c r="T313" s="674"/>
      <c r="U313" s="674"/>
      <c r="V313" s="674"/>
      <c r="W313" s="674">
        <v>10</v>
      </c>
      <c r="X313" s="674"/>
      <c r="Y313" s="674"/>
      <c r="Z313" s="674"/>
      <c r="AA313" s="674"/>
      <c r="AB313" s="674"/>
      <c r="AC313" s="674"/>
      <c r="AD313" s="674"/>
      <c r="AE313" s="674"/>
      <c r="AF313" s="863">
        <v>1</v>
      </c>
      <c r="AG313" s="674"/>
      <c r="AH313" s="674"/>
      <c r="AI313" s="674"/>
      <c r="AJ313" s="674"/>
      <c r="AK313" s="674"/>
      <c r="AL313" s="674"/>
      <c r="AM313" s="674"/>
      <c r="AN313" s="674"/>
      <c r="AO313" s="674">
        <v>10</v>
      </c>
      <c r="AP313" s="674"/>
      <c r="AQ313" s="674"/>
    </row>
    <row r="314" spans="2:43">
      <c r="B314" s="818"/>
      <c r="C314" s="927"/>
      <c r="D314" s="696" t="s">
        <v>1868</v>
      </c>
      <c r="E314" s="697"/>
      <c r="F314" s="697"/>
      <c r="G314" s="674"/>
      <c r="H314" s="674"/>
      <c r="I314" s="674"/>
      <c r="J314" s="674"/>
      <c r="K314" s="674"/>
      <c r="L314" s="674"/>
      <c r="M314" s="674"/>
      <c r="N314" s="674"/>
      <c r="O314" s="674"/>
      <c r="P314" s="674"/>
      <c r="Q314" s="674"/>
      <c r="R314" s="674"/>
      <c r="S314" s="674"/>
      <c r="T314" s="674"/>
      <c r="U314" s="674"/>
      <c r="V314" s="674"/>
      <c r="W314" s="674">
        <v>15</v>
      </c>
      <c r="X314" s="674"/>
      <c r="Y314" s="674"/>
      <c r="Z314" s="674"/>
      <c r="AA314" s="674"/>
      <c r="AB314" s="674"/>
      <c r="AC314" s="674"/>
      <c r="AD314" s="674"/>
      <c r="AE314" s="674"/>
      <c r="AF314" s="863">
        <v>1</v>
      </c>
      <c r="AG314" s="674"/>
      <c r="AH314" s="674"/>
      <c r="AI314" s="674"/>
      <c r="AJ314" s="674"/>
      <c r="AK314" s="674"/>
      <c r="AL314" s="674"/>
      <c r="AM314" s="674"/>
      <c r="AN314" s="674"/>
      <c r="AO314" s="674">
        <v>15</v>
      </c>
      <c r="AP314" s="674"/>
      <c r="AQ314" s="674"/>
    </row>
    <row r="315" spans="2:43">
      <c r="B315" s="818"/>
      <c r="C315" s="927"/>
      <c r="D315" s="696" t="str">
        <f>D288</f>
        <v>Purchase of office equipememnt / furniture ALDC</v>
      </c>
      <c r="E315" s="697"/>
      <c r="F315" s="697"/>
      <c r="G315" s="674"/>
      <c r="H315" s="674"/>
      <c r="I315" s="674"/>
      <c r="J315" s="674"/>
      <c r="K315" s="674"/>
      <c r="L315" s="674"/>
      <c r="M315" s="674"/>
      <c r="N315" s="674"/>
      <c r="O315" s="674"/>
      <c r="P315" s="674"/>
      <c r="Q315" s="674"/>
      <c r="R315" s="674"/>
      <c r="S315" s="674"/>
      <c r="T315" s="674"/>
      <c r="U315" s="674"/>
      <c r="V315" s="674"/>
      <c r="W315" s="674">
        <v>25</v>
      </c>
      <c r="X315" s="674"/>
      <c r="Y315" s="674"/>
      <c r="Z315" s="674"/>
      <c r="AA315" s="674"/>
      <c r="AB315" s="674"/>
      <c r="AC315" s="674"/>
      <c r="AD315" s="674"/>
      <c r="AE315" s="674"/>
      <c r="AF315" s="863">
        <v>1</v>
      </c>
      <c r="AG315" s="674"/>
      <c r="AH315" s="674"/>
      <c r="AI315" s="674"/>
      <c r="AJ315" s="674"/>
      <c r="AK315" s="674"/>
      <c r="AL315" s="674"/>
      <c r="AM315" s="674"/>
      <c r="AN315" s="674"/>
      <c r="AO315" s="674">
        <v>25</v>
      </c>
      <c r="AP315" s="674"/>
      <c r="AQ315" s="674"/>
    </row>
    <row r="316" spans="2:43">
      <c r="B316" s="818"/>
      <c r="C316" s="927"/>
      <c r="D316" s="696" t="s">
        <v>1887</v>
      </c>
      <c r="E316" s="697"/>
      <c r="F316" s="697"/>
      <c r="G316" s="674"/>
      <c r="H316" s="674"/>
      <c r="I316" s="674"/>
      <c r="J316" s="674"/>
      <c r="K316" s="674"/>
      <c r="L316" s="674"/>
      <c r="M316" s="674"/>
      <c r="N316" s="674"/>
      <c r="O316" s="674"/>
      <c r="P316" s="674"/>
      <c r="Q316" s="674"/>
      <c r="R316" s="674"/>
      <c r="S316" s="674"/>
      <c r="T316" s="674"/>
      <c r="U316" s="674"/>
      <c r="V316" s="674"/>
      <c r="W316" s="674">
        <v>32</v>
      </c>
      <c r="X316" s="674"/>
      <c r="Y316" s="674"/>
      <c r="Z316" s="674"/>
      <c r="AA316" s="674"/>
      <c r="AB316" s="674"/>
      <c r="AC316" s="674"/>
      <c r="AD316" s="674"/>
      <c r="AE316" s="674"/>
      <c r="AF316" s="863">
        <v>1</v>
      </c>
      <c r="AG316" s="674"/>
      <c r="AH316" s="674"/>
      <c r="AI316" s="674"/>
      <c r="AJ316" s="674"/>
      <c r="AK316" s="674"/>
      <c r="AL316" s="674"/>
      <c r="AM316" s="674"/>
      <c r="AN316" s="674"/>
      <c r="AO316" s="674">
        <v>32</v>
      </c>
      <c r="AP316" s="674"/>
      <c r="AQ316" s="674"/>
    </row>
    <row r="317" spans="2:43">
      <c r="B317" s="818"/>
      <c r="C317" s="927"/>
      <c r="D317" s="696" t="str">
        <f>D289</f>
        <v>Incendental SCADA ALDC</v>
      </c>
      <c r="E317" s="697"/>
      <c r="F317" s="697"/>
      <c r="G317" s="674"/>
      <c r="H317" s="674"/>
      <c r="I317" s="674"/>
      <c r="J317" s="674"/>
      <c r="K317" s="674"/>
      <c r="L317" s="674"/>
      <c r="M317" s="674"/>
      <c r="N317" s="674"/>
      <c r="O317" s="674"/>
      <c r="P317" s="674"/>
      <c r="Q317" s="674"/>
      <c r="R317" s="674"/>
      <c r="S317" s="674"/>
      <c r="T317" s="674"/>
      <c r="U317" s="674"/>
      <c r="V317" s="674"/>
      <c r="W317" s="674">
        <v>10</v>
      </c>
      <c r="X317" s="674"/>
      <c r="Y317" s="674"/>
      <c r="Z317" s="674"/>
      <c r="AA317" s="674"/>
      <c r="AB317" s="674"/>
      <c r="AC317" s="674"/>
      <c r="AD317" s="674"/>
      <c r="AE317" s="674"/>
      <c r="AF317" s="863">
        <v>1</v>
      </c>
      <c r="AG317" s="674"/>
      <c r="AH317" s="674"/>
      <c r="AI317" s="674"/>
      <c r="AJ317" s="674"/>
      <c r="AK317" s="674"/>
      <c r="AL317" s="674"/>
      <c r="AM317" s="674"/>
      <c r="AN317" s="674"/>
      <c r="AO317" s="674">
        <v>10</v>
      </c>
      <c r="AP317" s="674"/>
      <c r="AQ317" s="674"/>
    </row>
    <row r="318" spans="2:43">
      <c r="B318" s="818"/>
      <c r="C318" s="927"/>
      <c r="D318" s="696" t="str">
        <f>D290</f>
        <v>IT ALDC</v>
      </c>
      <c r="E318" s="697"/>
      <c r="F318" s="697"/>
      <c r="G318" s="674"/>
      <c r="H318" s="674"/>
      <c r="I318" s="674"/>
      <c r="J318" s="674"/>
      <c r="K318" s="674"/>
      <c r="L318" s="674"/>
      <c r="M318" s="674"/>
      <c r="N318" s="674"/>
      <c r="O318" s="674"/>
      <c r="P318" s="674"/>
      <c r="Q318" s="674"/>
      <c r="R318" s="674"/>
      <c r="S318" s="674"/>
      <c r="T318" s="674"/>
      <c r="U318" s="674"/>
      <c r="V318" s="674"/>
      <c r="W318" s="674">
        <v>20</v>
      </c>
      <c r="X318" s="674"/>
      <c r="Y318" s="674"/>
      <c r="Z318" s="674"/>
      <c r="AA318" s="674"/>
      <c r="AB318" s="674"/>
      <c r="AC318" s="674"/>
      <c r="AD318" s="674"/>
      <c r="AE318" s="674"/>
      <c r="AF318" s="863">
        <v>1</v>
      </c>
      <c r="AG318" s="674"/>
      <c r="AH318" s="674"/>
      <c r="AI318" s="674"/>
      <c r="AJ318" s="674"/>
      <c r="AK318" s="674"/>
      <c r="AL318" s="674"/>
      <c r="AM318" s="674"/>
      <c r="AN318" s="674"/>
      <c r="AO318" s="674">
        <v>20</v>
      </c>
      <c r="AP318" s="674"/>
      <c r="AQ318" s="674"/>
    </row>
    <row r="319" spans="2:43">
      <c r="B319" s="818"/>
      <c r="C319" s="927"/>
      <c r="D319" s="935"/>
      <c r="E319" s="673"/>
      <c r="F319" s="673"/>
      <c r="G319" s="674"/>
      <c r="H319" s="674"/>
      <c r="I319" s="674"/>
      <c r="J319" s="674"/>
      <c r="K319" s="674"/>
      <c r="L319" s="674"/>
      <c r="M319" s="674"/>
      <c r="N319" s="674"/>
      <c r="O319" s="674"/>
      <c r="P319" s="674"/>
      <c r="Q319" s="674"/>
      <c r="R319" s="674"/>
      <c r="S319" s="674"/>
      <c r="T319" s="674"/>
      <c r="U319" s="674"/>
      <c r="V319" s="674"/>
      <c r="W319" s="674"/>
      <c r="X319" s="674"/>
      <c r="Y319" s="674"/>
      <c r="Z319" s="674"/>
      <c r="AA319" s="674"/>
      <c r="AB319" s="674"/>
      <c r="AC319" s="674"/>
      <c r="AD319" s="674"/>
      <c r="AE319" s="674"/>
      <c r="AF319" s="674"/>
      <c r="AG319" s="674"/>
      <c r="AH319" s="674"/>
      <c r="AI319" s="674"/>
      <c r="AJ319" s="674"/>
      <c r="AK319" s="674"/>
      <c r="AL319" s="674"/>
      <c r="AM319" s="674"/>
      <c r="AN319" s="674"/>
      <c r="AO319" s="674"/>
      <c r="AP319" s="674"/>
      <c r="AQ319" s="674"/>
    </row>
    <row r="320" spans="2:43">
      <c r="B320" s="673"/>
      <c r="C320" s="818" t="s">
        <v>281</v>
      </c>
      <c r="D320" s="792"/>
      <c r="E320" s="673"/>
      <c r="F320" s="673"/>
      <c r="G320" s="673"/>
      <c r="H320" s="673"/>
      <c r="I320" s="673"/>
      <c r="J320" s="673"/>
      <c r="K320" s="673"/>
      <c r="L320" s="673"/>
      <c r="M320" s="673"/>
      <c r="N320" s="673"/>
      <c r="O320" s="673"/>
      <c r="P320" s="673">
        <f>SUM(P14:P319)</f>
        <v>597.45999999999992</v>
      </c>
      <c r="Q320" s="673"/>
      <c r="R320" s="928">
        <f>SUM(R103:R319)</f>
        <v>4436.3378000000002</v>
      </c>
      <c r="S320" s="673">
        <f t="shared" ref="S320:AI320" si="6">SUM(S143:S319)</f>
        <v>10736</v>
      </c>
      <c r="T320" s="673">
        <f t="shared" si="6"/>
        <v>9537</v>
      </c>
      <c r="U320" s="673">
        <f t="shared" si="6"/>
        <v>8790</v>
      </c>
      <c r="V320" s="673">
        <f t="shared" si="6"/>
        <v>6065</v>
      </c>
      <c r="W320" s="673">
        <f t="shared" si="6"/>
        <v>2222</v>
      </c>
      <c r="X320" s="673">
        <f t="shared" si="6"/>
        <v>0</v>
      </c>
      <c r="Y320" s="673">
        <f t="shared" si="6"/>
        <v>0</v>
      </c>
      <c r="Z320" s="673">
        <f t="shared" si="6"/>
        <v>0</v>
      </c>
      <c r="AA320" s="673">
        <f t="shared" si="6"/>
        <v>0</v>
      </c>
      <c r="AB320" s="673">
        <f t="shared" si="6"/>
        <v>1413.9933000000001</v>
      </c>
      <c r="AC320" s="673">
        <f t="shared" si="6"/>
        <v>1514.2873999999999</v>
      </c>
      <c r="AD320" s="673">
        <f t="shared" si="6"/>
        <v>717.18610000000001</v>
      </c>
      <c r="AE320" s="673">
        <f t="shared" si="6"/>
        <v>1506.6862000000001</v>
      </c>
      <c r="AF320" s="673">
        <f t="shared" si="6"/>
        <v>417.33330000000001</v>
      </c>
      <c r="AG320" s="673">
        <f t="shared" si="6"/>
        <v>461</v>
      </c>
      <c r="AH320" s="673">
        <f t="shared" si="6"/>
        <v>0</v>
      </c>
      <c r="AI320" s="673">
        <f t="shared" si="6"/>
        <v>0</v>
      </c>
      <c r="AJ320" s="928">
        <f>SUM(AJ102:AJ141)</f>
        <v>1623.94</v>
      </c>
      <c r="AK320" s="928">
        <f>SUM(AK143:AK319)</f>
        <v>7495</v>
      </c>
      <c r="AL320" s="928">
        <f>SUM(AL143:AL319)</f>
        <v>12517</v>
      </c>
      <c r="AM320" s="928">
        <f>SUM(AM143:AM319)</f>
        <v>8060</v>
      </c>
      <c r="AN320" s="928">
        <f>SUM(AN143:AN319)</f>
        <v>5315</v>
      </c>
      <c r="AO320" s="928">
        <f>SUM(AO143:AO319)</f>
        <v>3822</v>
      </c>
      <c r="AP320" s="673"/>
      <c r="AQ320" s="673"/>
    </row>
    <row r="322" spans="3:42">
      <c r="P322" s="112">
        <f t="shared" ref="P322:AP322" si="7">SUM(P14:P319)</f>
        <v>597.45999999999992</v>
      </c>
      <c r="Q322" s="112">
        <f t="shared" si="7"/>
        <v>413.27999999999992</v>
      </c>
      <c r="R322" s="112">
        <f t="shared" si="7"/>
        <v>4536.1678000000002</v>
      </c>
      <c r="S322" s="112">
        <f t="shared" si="7"/>
        <v>10736</v>
      </c>
      <c r="T322" s="112">
        <f t="shared" si="7"/>
        <v>9537</v>
      </c>
      <c r="U322" s="112">
        <f t="shared" si="7"/>
        <v>8790</v>
      </c>
      <c r="V322" s="112">
        <f t="shared" si="7"/>
        <v>6065</v>
      </c>
      <c r="W322" s="112">
        <f t="shared" si="7"/>
        <v>2222</v>
      </c>
      <c r="X322" s="112">
        <f t="shared" si="7"/>
        <v>2</v>
      </c>
      <c r="Y322" s="112">
        <f t="shared" si="7"/>
        <v>16.084900000000001</v>
      </c>
      <c r="Z322" s="112">
        <f t="shared" si="7"/>
        <v>10.2951</v>
      </c>
      <c r="AA322" s="112">
        <f t="shared" si="7"/>
        <v>22.5</v>
      </c>
      <c r="AB322" s="112">
        <f t="shared" si="7"/>
        <v>1414.4933000000001</v>
      </c>
      <c r="AC322" s="112">
        <f t="shared" si="7"/>
        <v>1514.2873999999999</v>
      </c>
      <c r="AD322" s="112">
        <f t="shared" si="7"/>
        <v>717.18610000000001</v>
      </c>
      <c r="AE322" s="112">
        <f t="shared" si="7"/>
        <v>1506.6862000000001</v>
      </c>
      <c r="AF322" s="112">
        <f t="shared" si="7"/>
        <v>417.33330000000001</v>
      </c>
      <c r="AG322" s="112">
        <f t="shared" si="7"/>
        <v>1195.46</v>
      </c>
      <c r="AH322" s="112">
        <f t="shared" si="7"/>
        <v>545.68000000000006</v>
      </c>
      <c r="AI322" s="112">
        <f t="shared" si="7"/>
        <v>318.29000000000002</v>
      </c>
      <c r="AJ322" s="112">
        <f t="shared" si="7"/>
        <v>1623.94</v>
      </c>
      <c r="AK322" s="112">
        <f t="shared" si="7"/>
        <v>7495</v>
      </c>
      <c r="AL322" s="112">
        <f t="shared" si="7"/>
        <v>12517</v>
      </c>
      <c r="AM322" s="112">
        <f t="shared" si="7"/>
        <v>8060</v>
      </c>
      <c r="AN322" s="112">
        <f t="shared" si="7"/>
        <v>5315</v>
      </c>
      <c r="AO322" s="112">
        <f t="shared" si="7"/>
        <v>3822</v>
      </c>
      <c r="AP322" s="112">
        <f t="shared" si="7"/>
        <v>0</v>
      </c>
    </row>
    <row r="326" spans="3:42">
      <c r="C326" s="932"/>
    </row>
  </sheetData>
  <mergeCells count="22">
    <mergeCell ref="AP10:AQ10"/>
    <mergeCell ref="AP11:AP12"/>
    <mergeCell ref="AQ11:AQ12"/>
    <mergeCell ref="N10:N12"/>
    <mergeCell ref="B10:B12"/>
    <mergeCell ref="C10:C12"/>
    <mergeCell ref="D10:D12"/>
    <mergeCell ref="E10:E12"/>
    <mergeCell ref="F10:F12"/>
    <mergeCell ref="G10:G12"/>
    <mergeCell ref="H10:H12"/>
    <mergeCell ref="J10:J12"/>
    <mergeCell ref="K10:K12"/>
    <mergeCell ref="L10:L12"/>
    <mergeCell ref="M10:M12"/>
    <mergeCell ref="I10:I12"/>
    <mergeCell ref="O10:W10"/>
    <mergeCell ref="X10:AF10"/>
    <mergeCell ref="AG10:AO10"/>
    <mergeCell ref="O11:O12"/>
    <mergeCell ref="X11:X12"/>
    <mergeCell ref="AG11:AG12"/>
  </mergeCells>
  <printOptions verticalCentered="1"/>
  <pageMargins left="3.937007874015748E-2" right="3.937007874015748E-2" top="3.937007874015748E-2" bottom="3.937007874015748E-2" header="3.937007874015748E-2" footer="3.937007874015748E-2"/>
  <pageSetup paperSize="9" scale="23" fitToWidth="0" fitToHeight="0" pageOrder="overThenDown" orientation="landscape" r:id="rId1"/>
  <headerFooter alignWithMargins="0">
    <oddHeader>&amp;F</oddHeader>
  </headerFooter>
  <rowBreaks count="4" manualBreakCount="4">
    <brk id="99" max="42" man="1"/>
    <brk id="186" max="42" man="1"/>
    <brk id="229" max="42" man="1"/>
    <brk id="290" max="42" man="1"/>
  </rowBreaks>
  <colBreaks count="1" manualBreakCount="1">
    <brk id="15" max="307" man="1"/>
  </colBreaks>
</worksheet>
</file>

<file path=xl/worksheets/sheet15.xml><?xml version="1.0" encoding="utf-8"?>
<worksheet xmlns="http://schemas.openxmlformats.org/spreadsheetml/2006/main" xmlns:r="http://schemas.openxmlformats.org/officeDocument/2006/relationships">
  <dimension ref="B1:AK92"/>
  <sheetViews>
    <sheetView showGridLines="0" tabSelected="1" view="pageBreakPreview" topLeftCell="C4" zoomScale="70" zoomScaleNormal="80" zoomScaleSheetLayoutView="70" workbookViewId="0">
      <pane xSplit="1" ySplit="8" topLeftCell="D12" activePane="bottomRight" state="frozen"/>
      <selection activeCell="C4" sqref="C4"/>
      <selection pane="topRight" activeCell="D4" sqref="D4"/>
      <selection pane="bottomLeft" activeCell="C12" sqref="C12"/>
      <selection pane="bottomRight" activeCell="C94" sqref="C94"/>
    </sheetView>
  </sheetViews>
  <sheetFormatPr defaultColWidth="9.28515625" defaultRowHeight="15"/>
  <cols>
    <col min="1" max="1" width="4.42578125" style="112" customWidth="1"/>
    <col min="2" max="2" width="8.28515625" style="112" customWidth="1"/>
    <col min="3" max="3" width="46.42578125" style="112" customWidth="1"/>
    <col min="4" max="7" width="17.7109375" style="112" customWidth="1"/>
    <col min="8" max="8" width="16.7109375" style="112" customWidth="1"/>
    <col min="9" max="10" width="15.42578125" style="112" customWidth="1"/>
    <col min="11" max="11" width="15.28515625" style="112" customWidth="1"/>
    <col min="12" max="12" width="14.42578125" style="112" customWidth="1"/>
    <col min="13" max="13" width="14.7109375" style="112" customWidth="1"/>
    <col min="14" max="14" width="16.7109375" style="112" customWidth="1"/>
    <col min="15" max="15" width="13.28515625" style="112" customWidth="1"/>
    <col min="16" max="19" width="14.42578125" style="112" customWidth="1"/>
    <col min="20" max="20" width="12" style="112" customWidth="1"/>
    <col min="21" max="21" width="13.28515625" style="112" bestFit="1" customWidth="1"/>
    <col min="22" max="24" width="12.42578125" style="112" customWidth="1"/>
    <col min="25" max="25" width="14.7109375" style="112" customWidth="1"/>
    <col min="26" max="26" width="12.7109375" style="112" customWidth="1"/>
    <col min="27" max="27" width="14.42578125" style="112" customWidth="1"/>
    <col min="28" max="28" width="16" style="112" customWidth="1"/>
    <col min="29" max="29" width="12.7109375" style="112" customWidth="1"/>
    <col min="30" max="30" width="14" style="112" customWidth="1"/>
    <col min="31" max="33" width="12.7109375" style="112" customWidth="1"/>
    <col min="34" max="34" width="15.28515625" style="112" customWidth="1"/>
    <col min="35" max="35" width="12.42578125" style="112" customWidth="1"/>
    <col min="36" max="37" width="13.42578125" style="112" customWidth="1"/>
    <col min="38" max="40" width="9.28515625" style="112"/>
    <col min="41" max="41" width="11.28515625" style="112" customWidth="1"/>
    <col min="42" max="16384" width="9.28515625" style="112"/>
  </cols>
  <sheetData>
    <row r="1" spans="2:37" ht="15.75" customHeight="1"/>
    <row r="2" spans="2:37" ht="15" customHeight="1">
      <c r="C2" s="141"/>
      <c r="D2" s="141"/>
      <c r="E2" s="141"/>
      <c r="F2" s="141"/>
      <c r="G2" s="141"/>
      <c r="H2" s="81" t="s">
        <v>0</v>
      </c>
      <c r="I2" s="141"/>
      <c r="J2" s="141"/>
      <c r="K2" s="141"/>
      <c r="L2" s="141"/>
      <c r="M2" s="142"/>
      <c r="N2" s="142"/>
      <c r="O2" s="142"/>
    </row>
    <row r="3" spans="2:37" ht="15" customHeight="1">
      <c r="C3" s="143"/>
      <c r="D3" s="143"/>
      <c r="E3" s="143"/>
      <c r="F3" s="143"/>
      <c r="G3" s="143"/>
      <c r="H3" s="88" t="s">
        <v>1</v>
      </c>
      <c r="I3" s="143"/>
      <c r="J3" s="143"/>
      <c r="K3" s="143"/>
      <c r="L3" s="143"/>
      <c r="M3" s="144"/>
      <c r="N3" s="144"/>
      <c r="O3" s="144"/>
      <c r="P3" s="128"/>
      <c r="Q3" s="128"/>
      <c r="R3" s="128"/>
      <c r="S3" s="128"/>
    </row>
    <row r="4" spans="2:37" ht="15" customHeight="1">
      <c r="C4" s="129"/>
      <c r="D4" s="129"/>
      <c r="E4" s="129"/>
      <c r="F4" s="129"/>
      <c r="G4" s="129"/>
      <c r="H4" s="130" t="s">
        <v>299</v>
      </c>
      <c r="I4" s="129"/>
      <c r="J4" s="129"/>
      <c r="K4" s="129"/>
      <c r="L4" s="129"/>
      <c r="M4" s="131"/>
      <c r="N4" s="131"/>
      <c r="O4" s="131"/>
      <c r="P4" s="128"/>
      <c r="Q4" s="128"/>
      <c r="R4" s="128"/>
      <c r="S4" s="128"/>
    </row>
    <row r="5" spans="2:37">
      <c r="C5" s="132"/>
      <c r="D5" s="132"/>
      <c r="E5" s="132"/>
      <c r="F5" s="132"/>
      <c r="G5" s="132"/>
      <c r="H5" s="133"/>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row>
    <row r="6" spans="2:37">
      <c r="C6" s="132"/>
      <c r="D6" s="132"/>
      <c r="E6" s="132"/>
      <c r="F6" s="132"/>
      <c r="G6" s="132"/>
      <c r="H6" s="133"/>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row>
    <row r="7" spans="2:37" ht="15.75" customHeight="1">
      <c r="C7" s="133" t="s">
        <v>255</v>
      </c>
      <c r="D7" s="133"/>
      <c r="E7" s="133"/>
      <c r="F7" s="133"/>
      <c r="G7" s="133"/>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row>
    <row r="8" spans="2:37">
      <c r="C8" s="132"/>
      <c r="D8" s="132"/>
      <c r="E8" s="132"/>
      <c r="F8" s="132"/>
      <c r="G8" s="132"/>
      <c r="H8" s="132"/>
      <c r="I8" s="128"/>
      <c r="J8" s="128"/>
      <c r="K8" s="128"/>
      <c r="L8" s="128"/>
      <c r="M8" s="128"/>
      <c r="N8" s="134" t="s">
        <v>1198</v>
      </c>
      <c r="O8" s="128"/>
      <c r="P8" s="128"/>
      <c r="Q8" s="128"/>
      <c r="R8" s="128"/>
      <c r="S8" s="128"/>
      <c r="T8" s="128"/>
      <c r="U8" s="128"/>
      <c r="V8" s="134"/>
      <c r="W8" s="128"/>
      <c r="Y8" s="128"/>
      <c r="Z8" s="128"/>
      <c r="AC8" s="134"/>
      <c r="AD8" s="134"/>
      <c r="AE8" s="134"/>
      <c r="AF8" s="134"/>
      <c r="AG8" s="134"/>
      <c r="AH8" s="128"/>
      <c r="AI8" s="128"/>
      <c r="AJ8" s="128"/>
    </row>
    <row r="9" spans="2:37" ht="15" customHeight="1">
      <c r="B9" s="1028" t="s">
        <v>2</v>
      </c>
      <c r="C9" s="1028" t="s">
        <v>256</v>
      </c>
      <c r="D9" s="1028" t="s">
        <v>258</v>
      </c>
      <c r="E9" s="1028" t="s">
        <v>259</v>
      </c>
      <c r="F9" s="1028" t="s">
        <v>300</v>
      </c>
      <c r="G9" s="1028" t="s">
        <v>301</v>
      </c>
      <c r="H9" s="1028" t="s">
        <v>302</v>
      </c>
      <c r="I9" s="1028" t="s">
        <v>303</v>
      </c>
      <c r="J9" s="1028" t="s">
        <v>304</v>
      </c>
      <c r="K9" s="1028" t="s">
        <v>305</v>
      </c>
      <c r="L9" s="1028"/>
      <c r="M9" s="1028"/>
      <c r="N9" s="1028"/>
      <c r="O9" s="1028" t="s">
        <v>306</v>
      </c>
      <c r="P9" s="1027"/>
      <c r="Q9" s="1027"/>
      <c r="R9" s="1027"/>
      <c r="S9" s="1027"/>
      <c r="T9" s="1027"/>
      <c r="U9" s="1027"/>
      <c r="V9" s="1027"/>
    </row>
    <row r="10" spans="2:37" ht="25.5" customHeight="1">
      <c r="B10" s="1028"/>
      <c r="C10" s="1028"/>
      <c r="D10" s="1028"/>
      <c r="E10" s="1028"/>
      <c r="F10" s="1028"/>
      <c r="G10" s="1028"/>
      <c r="H10" s="1028"/>
      <c r="I10" s="1028"/>
      <c r="J10" s="1028"/>
      <c r="K10" s="1028"/>
      <c r="L10" s="1028"/>
      <c r="M10" s="1028"/>
      <c r="N10" s="1028"/>
      <c r="O10" s="1028"/>
      <c r="P10" s="1027"/>
      <c r="Q10" s="1027"/>
      <c r="R10" s="1027"/>
      <c r="S10" s="1027"/>
      <c r="T10" s="1027"/>
      <c r="U10" s="1027"/>
      <c r="V10" s="1027"/>
    </row>
    <row r="11" spans="2:37" ht="49.5" customHeight="1">
      <c r="B11" s="1028"/>
      <c r="C11" s="1028"/>
      <c r="D11" s="1028"/>
      <c r="E11" s="1028"/>
      <c r="F11" s="1028"/>
      <c r="G11" s="1028"/>
      <c r="H11" s="1028"/>
      <c r="I11" s="1028"/>
      <c r="J11" s="1028"/>
      <c r="K11" s="152" t="s">
        <v>307</v>
      </c>
      <c r="L11" s="152" t="s">
        <v>308</v>
      </c>
      <c r="M11" s="152" t="s">
        <v>309</v>
      </c>
      <c r="N11" s="152" t="s">
        <v>310</v>
      </c>
      <c r="O11" s="1028"/>
      <c r="P11" s="1027"/>
      <c r="Q11" s="1027"/>
      <c r="R11" s="1027"/>
      <c r="S11" s="1027"/>
      <c r="T11" s="1027"/>
      <c r="U11" s="1027"/>
      <c r="V11" s="1027"/>
    </row>
    <row r="12" spans="2:37">
      <c r="B12" s="135"/>
      <c r="C12" s="437" t="s">
        <v>58</v>
      </c>
      <c r="D12" s="135"/>
      <c r="E12" s="135"/>
      <c r="F12" s="136"/>
      <c r="G12" s="136"/>
      <c r="H12" s="136"/>
      <c r="I12" s="136"/>
      <c r="J12" s="136"/>
      <c r="K12" s="136"/>
      <c r="L12" s="136"/>
      <c r="M12" s="136"/>
      <c r="N12" s="136"/>
      <c r="O12" s="136"/>
    </row>
    <row r="13" spans="2:37">
      <c r="B13" s="135"/>
      <c r="C13" s="209" t="s">
        <v>276</v>
      </c>
      <c r="D13" s="137"/>
      <c r="E13" s="137"/>
      <c r="F13" s="136"/>
      <c r="G13" s="136"/>
      <c r="H13" s="136"/>
      <c r="I13" s="136"/>
      <c r="J13" s="136"/>
      <c r="K13" s="136"/>
      <c r="L13" s="136"/>
      <c r="M13" s="136"/>
      <c r="N13" s="136"/>
      <c r="O13" s="136"/>
    </row>
    <row r="14" spans="2:37">
      <c r="B14" s="135"/>
      <c r="C14" s="210" t="s">
        <v>277</v>
      </c>
      <c r="D14" s="138"/>
      <c r="E14" s="138"/>
      <c r="F14" s="136"/>
      <c r="G14" s="136"/>
      <c r="H14" s="136"/>
      <c r="I14" s="136"/>
      <c r="J14" s="136"/>
      <c r="K14" s="136"/>
      <c r="L14" s="136"/>
      <c r="M14" s="136"/>
      <c r="N14" s="136"/>
      <c r="O14" s="136"/>
    </row>
    <row r="15" spans="2:37" ht="45">
      <c r="B15" s="135"/>
      <c r="C15" s="454" t="s">
        <v>1200</v>
      </c>
      <c r="D15" s="456" t="s">
        <v>1201</v>
      </c>
      <c r="E15" s="457">
        <v>42432</v>
      </c>
      <c r="F15" s="456">
        <v>538</v>
      </c>
      <c r="G15" s="136"/>
      <c r="H15" s="136"/>
      <c r="I15" s="136">
        <v>8.17</v>
      </c>
      <c r="J15" s="136"/>
      <c r="K15" s="136"/>
      <c r="L15" s="136"/>
      <c r="M15" s="136"/>
      <c r="N15" s="136"/>
      <c r="O15" s="136"/>
    </row>
    <row r="16" spans="2:37" ht="45">
      <c r="B16" s="135"/>
      <c r="C16" s="455" t="s">
        <v>1202</v>
      </c>
      <c r="D16" s="456" t="s">
        <v>1203</v>
      </c>
      <c r="E16" s="457">
        <v>44316</v>
      </c>
      <c r="F16" s="456">
        <v>155</v>
      </c>
      <c r="G16" s="136"/>
      <c r="H16" s="136"/>
      <c r="I16" s="136">
        <v>110.94</v>
      </c>
      <c r="J16" s="136"/>
      <c r="K16" s="136"/>
      <c r="L16" s="136"/>
      <c r="M16" s="136"/>
      <c r="N16" s="136"/>
      <c r="O16" s="136"/>
    </row>
    <row r="17" spans="2:15">
      <c r="B17" s="135"/>
      <c r="C17" s="210" t="s">
        <v>279</v>
      </c>
      <c r="D17" s="138"/>
      <c r="E17" s="138"/>
      <c r="F17" s="136"/>
      <c r="G17" s="136"/>
      <c r="H17" s="136"/>
      <c r="I17" s="136"/>
      <c r="J17" s="136"/>
      <c r="K17" s="136"/>
      <c r="L17" s="136"/>
      <c r="M17" s="136"/>
      <c r="N17" s="136"/>
      <c r="O17" s="136"/>
    </row>
    <row r="18" spans="2:15">
      <c r="B18" s="135"/>
      <c r="C18" s="204" t="s">
        <v>278</v>
      </c>
      <c r="D18" s="136"/>
      <c r="E18" s="136"/>
      <c r="F18" s="136"/>
      <c r="G18" s="136"/>
      <c r="H18" s="136"/>
      <c r="I18" s="136"/>
      <c r="J18" s="136"/>
      <c r="K18" s="136"/>
      <c r="L18" s="136"/>
      <c r="M18" s="136"/>
      <c r="N18" s="136"/>
      <c r="O18" s="136"/>
    </row>
    <row r="19" spans="2:15">
      <c r="B19" s="135"/>
      <c r="C19" s="204" t="s">
        <v>278</v>
      </c>
      <c r="D19" s="136"/>
      <c r="E19" s="136"/>
      <c r="F19" s="136"/>
      <c r="G19" s="136"/>
      <c r="H19" s="136"/>
      <c r="I19" s="136"/>
      <c r="J19" s="136"/>
      <c r="K19" s="136"/>
      <c r="L19" s="136"/>
      <c r="M19" s="136"/>
      <c r="N19" s="136"/>
      <c r="O19" s="136"/>
    </row>
    <row r="20" spans="2:15">
      <c r="B20" s="135"/>
      <c r="C20" s="208" t="s">
        <v>280</v>
      </c>
      <c r="D20" s="135"/>
      <c r="E20" s="135"/>
      <c r="F20" s="136"/>
      <c r="G20" s="136"/>
      <c r="H20" s="136"/>
      <c r="I20" s="136"/>
      <c r="J20" s="136"/>
      <c r="K20" s="136"/>
      <c r="L20" s="136"/>
      <c r="M20" s="136"/>
      <c r="N20" s="136"/>
      <c r="O20" s="136"/>
    </row>
    <row r="21" spans="2:15" ht="30">
      <c r="B21" s="135"/>
      <c r="C21" s="455" t="s">
        <v>1204</v>
      </c>
      <c r="D21" s="136"/>
      <c r="E21" s="136"/>
      <c r="F21" s="136"/>
      <c r="G21" s="136"/>
      <c r="H21" s="136"/>
      <c r="I21" s="136">
        <v>0.73</v>
      </c>
      <c r="J21" s="136"/>
      <c r="K21" s="136"/>
      <c r="L21" s="136"/>
      <c r="M21" s="136"/>
      <c r="N21" s="136"/>
      <c r="O21" s="136"/>
    </row>
    <row r="22" spans="2:15">
      <c r="B22" s="135"/>
      <c r="C22" s="455" t="s">
        <v>1205</v>
      </c>
      <c r="D22" s="136"/>
      <c r="E22" s="136"/>
      <c r="F22" s="136"/>
      <c r="G22" s="136"/>
      <c r="H22" s="136"/>
      <c r="I22" s="136">
        <v>0.13</v>
      </c>
      <c r="J22" s="136"/>
      <c r="K22" s="136"/>
      <c r="L22" s="136"/>
      <c r="M22" s="136"/>
      <c r="N22" s="136"/>
      <c r="O22" s="136"/>
    </row>
    <row r="23" spans="2:15">
      <c r="B23" s="453"/>
      <c r="C23" s="455" t="s">
        <v>1207</v>
      </c>
      <c r="D23" s="454"/>
      <c r="E23" s="454"/>
      <c r="F23" s="454"/>
      <c r="G23" s="454"/>
      <c r="H23" s="454"/>
      <c r="I23" s="454">
        <v>30.97</v>
      </c>
      <c r="J23" s="454"/>
      <c r="K23" s="454"/>
      <c r="L23" s="454"/>
      <c r="M23" s="454"/>
      <c r="N23" s="454"/>
      <c r="O23" s="454"/>
    </row>
    <row r="24" spans="2:15">
      <c r="B24" s="453"/>
      <c r="C24" s="455" t="s">
        <v>1206</v>
      </c>
      <c r="D24" s="454"/>
      <c r="E24" s="454"/>
      <c r="F24" s="454"/>
      <c r="G24" s="454"/>
      <c r="H24" s="454"/>
      <c r="I24" s="454">
        <v>22.91</v>
      </c>
      <c r="J24" s="454"/>
      <c r="K24" s="454"/>
      <c r="L24" s="454"/>
      <c r="M24" s="454"/>
      <c r="N24" s="454"/>
      <c r="O24" s="454"/>
    </row>
    <row r="25" spans="2:15">
      <c r="B25" s="453"/>
      <c r="C25" s="455"/>
      <c r="D25" s="454"/>
      <c r="E25" s="454"/>
      <c r="F25" s="454"/>
      <c r="G25" s="454"/>
      <c r="H25" s="454"/>
      <c r="I25" s="454"/>
      <c r="J25" s="454"/>
      <c r="K25" s="454"/>
      <c r="L25" s="454"/>
      <c r="M25" s="454"/>
      <c r="N25" s="454"/>
      <c r="O25" s="454"/>
    </row>
    <row r="26" spans="2:15">
      <c r="B26" s="453"/>
      <c r="C26" s="455"/>
      <c r="D26" s="454"/>
      <c r="E26" s="454"/>
      <c r="F26" s="454"/>
      <c r="G26" s="454"/>
      <c r="H26" s="454"/>
      <c r="I26" s="454"/>
      <c r="J26" s="454"/>
      <c r="K26" s="454"/>
      <c r="L26" s="454"/>
      <c r="M26" s="454"/>
      <c r="N26" s="454"/>
      <c r="O26" s="454"/>
    </row>
    <row r="27" spans="2:15">
      <c r="B27" s="453"/>
      <c r="C27" s="455"/>
      <c r="D27" s="454"/>
      <c r="E27" s="454"/>
      <c r="F27" s="454"/>
      <c r="G27" s="454"/>
      <c r="H27" s="454"/>
      <c r="I27" s="454"/>
      <c r="J27" s="454"/>
      <c r="K27" s="454"/>
      <c r="L27" s="454"/>
      <c r="M27" s="454"/>
      <c r="N27" s="454"/>
      <c r="O27" s="454"/>
    </row>
    <row r="28" spans="2:15">
      <c r="B28" s="453"/>
      <c r="C28" s="455"/>
      <c r="D28" s="454"/>
      <c r="E28" s="454"/>
      <c r="F28" s="454"/>
      <c r="G28" s="454"/>
      <c r="H28" s="454"/>
      <c r="I28" s="454"/>
      <c r="J28" s="454"/>
      <c r="K28" s="454"/>
      <c r="L28" s="454"/>
      <c r="M28" s="454"/>
      <c r="N28" s="454"/>
      <c r="O28" s="454"/>
    </row>
    <row r="29" spans="2:15" s="172" customFormat="1" ht="14.25">
      <c r="B29" s="135"/>
      <c r="C29" s="208" t="s">
        <v>1208</v>
      </c>
      <c r="D29" s="135"/>
      <c r="E29" s="135"/>
      <c r="F29" s="135"/>
      <c r="G29" s="135"/>
      <c r="H29" s="135"/>
      <c r="I29" s="135">
        <f>SUM(I15:I28)</f>
        <v>173.85</v>
      </c>
      <c r="J29" s="135">
        <f t="shared" ref="J29:O29" si="0">SUM(J15:J28)</f>
        <v>0</v>
      </c>
      <c r="K29" s="135">
        <f t="shared" si="0"/>
        <v>0</v>
      </c>
      <c r="L29" s="135">
        <f t="shared" si="0"/>
        <v>0</v>
      </c>
      <c r="M29" s="135">
        <f t="shared" si="0"/>
        <v>0</v>
      </c>
      <c r="N29" s="135">
        <f t="shared" si="0"/>
        <v>0</v>
      </c>
      <c r="O29" s="135">
        <f t="shared" si="0"/>
        <v>0</v>
      </c>
    </row>
    <row r="30" spans="2:15">
      <c r="B30" s="135"/>
      <c r="C30" s="437" t="s">
        <v>59</v>
      </c>
      <c r="D30" s="136"/>
      <c r="E30" s="136"/>
      <c r="F30" s="136"/>
      <c r="G30" s="136"/>
      <c r="H30" s="136"/>
      <c r="I30" s="136"/>
      <c r="J30" s="136"/>
      <c r="K30" s="136"/>
      <c r="L30" s="136"/>
      <c r="M30" s="136"/>
      <c r="N30" s="136"/>
      <c r="O30" s="136"/>
    </row>
    <row r="31" spans="2:15">
      <c r="B31" s="135"/>
      <c r="C31" s="209" t="s">
        <v>276</v>
      </c>
      <c r="D31" s="136"/>
      <c r="E31" s="136"/>
      <c r="F31" s="136"/>
      <c r="G31" s="136"/>
      <c r="H31" s="136"/>
      <c r="I31" s="136"/>
      <c r="J31" s="136"/>
      <c r="K31" s="136"/>
      <c r="L31" s="136"/>
      <c r="M31" s="136"/>
      <c r="N31" s="136"/>
      <c r="O31" s="136"/>
    </row>
    <row r="32" spans="2:15">
      <c r="B32" s="135"/>
      <c r="C32" s="210" t="s">
        <v>277</v>
      </c>
      <c r="D32" s="136"/>
      <c r="E32" s="136"/>
      <c r="F32" s="136"/>
      <c r="G32" s="136"/>
      <c r="H32" s="136"/>
      <c r="I32" s="136"/>
      <c r="J32" s="136"/>
      <c r="K32" s="136"/>
      <c r="L32" s="136"/>
      <c r="M32" s="136"/>
      <c r="N32" s="136"/>
      <c r="O32" s="136"/>
    </row>
    <row r="33" spans="2:15">
      <c r="B33" s="135"/>
      <c r="C33" s="204" t="s">
        <v>278</v>
      </c>
      <c r="D33" s="136"/>
      <c r="E33" s="136"/>
      <c r="F33" s="136"/>
      <c r="G33" s="136"/>
      <c r="H33" s="136"/>
      <c r="I33" s="136"/>
      <c r="J33" s="136"/>
      <c r="K33" s="136"/>
      <c r="L33" s="136"/>
      <c r="M33" s="136"/>
      <c r="N33" s="136"/>
      <c r="O33" s="136"/>
    </row>
    <row r="34" spans="2:15">
      <c r="B34" s="135"/>
      <c r="C34" s="204" t="s">
        <v>278</v>
      </c>
      <c r="D34" s="136"/>
      <c r="E34" s="136"/>
      <c r="F34" s="136"/>
      <c r="G34" s="136"/>
      <c r="H34" s="136"/>
      <c r="I34" s="136"/>
      <c r="J34" s="136"/>
      <c r="K34" s="136"/>
      <c r="L34" s="136"/>
      <c r="M34" s="136"/>
      <c r="N34" s="136"/>
      <c r="O34" s="136"/>
    </row>
    <row r="35" spans="2:15">
      <c r="B35" s="135"/>
      <c r="C35" s="210" t="s">
        <v>279</v>
      </c>
      <c r="D35" s="136"/>
      <c r="E35" s="136"/>
      <c r="F35" s="136"/>
      <c r="G35" s="136"/>
      <c r="H35" s="136"/>
      <c r="I35" s="136"/>
      <c r="J35" s="136"/>
      <c r="K35" s="136"/>
      <c r="L35" s="136"/>
      <c r="M35" s="136"/>
      <c r="N35" s="136"/>
      <c r="O35" s="136"/>
    </row>
    <row r="36" spans="2:15">
      <c r="B36" s="135"/>
      <c r="C36" s="204" t="s">
        <v>278</v>
      </c>
      <c r="D36" s="136"/>
      <c r="E36" s="136"/>
      <c r="F36" s="136"/>
      <c r="G36" s="136"/>
      <c r="H36" s="136"/>
      <c r="I36" s="136"/>
      <c r="J36" s="136"/>
      <c r="K36" s="136"/>
      <c r="L36" s="136"/>
      <c r="M36" s="136"/>
      <c r="N36" s="136"/>
      <c r="O36" s="136"/>
    </row>
    <row r="37" spans="2:15">
      <c r="B37" s="135"/>
      <c r="C37" s="204" t="s">
        <v>278</v>
      </c>
      <c r="D37" s="136"/>
      <c r="E37" s="136"/>
      <c r="F37" s="136"/>
      <c r="G37" s="136"/>
      <c r="H37" s="136"/>
      <c r="I37" s="136"/>
      <c r="J37" s="136"/>
      <c r="K37" s="136"/>
      <c r="L37" s="136"/>
      <c r="M37" s="136"/>
      <c r="N37" s="136"/>
      <c r="O37" s="136"/>
    </row>
    <row r="38" spans="2:15">
      <c r="B38" s="135"/>
      <c r="C38" s="208" t="s">
        <v>280</v>
      </c>
      <c r="D38" s="136"/>
      <c r="E38" s="136"/>
      <c r="F38" s="136"/>
      <c r="G38" s="136"/>
      <c r="H38" s="136"/>
      <c r="I38" s="136"/>
      <c r="J38" s="136"/>
      <c r="K38" s="136"/>
      <c r="L38" s="136"/>
      <c r="M38" s="136"/>
      <c r="N38" s="136"/>
      <c r="O38" s="136"/>
    </row>
    <row r="39" spans="2:15">
      <c r="B39" s="135"/>
      <c r="C39" s="204" t="s">
        <v>278</v>
      </c>
      <c r="D39" s="136"/>
      <c r="E39" s="136"/>
      <c r="F39" s="136"/>
      <c r="G39" s="136"/>
      <c r="H39" s="136"/>
      <c r="I39" s="136"/>
      <c r="J39" s="136"/>
      <c r="K39" s="136"/>
      <c r="L39" s="136"/>
      <c r="M39" s="136"/>
      <c r="N39" s="136"/>
      <c r="O39" s="136"/>
    </row>
    <row r="40" spans="2:15">
      <c r="B40" s="135"/>
      <c r="C40" s="204" t="s">
        <v>278</v>
      </c>
      <c r="D40" s="136"/>
      <c r="E40" s="136"/>
      <c r="F40" s="136"/>
      <c r="G40" s="136"/>
      <c r="H40" s="136"/>
      <c r="I40" s="136"/>
      <c r="J40" s="136"/>
      <c r="K40" s="136"/>
      <c r="L40" s="136"/>
      <c r="M40" s="136"/>
      <c r="N40" s="136"/>
      <c r="O40" s="136"/>
    </row>
    <row r="41" spans="2:15">
      <c r="B41" s="135"/>
      <c r="C41" s="204"/>
      <c r="D41" s="136"/>
      <c r="E41" s="136"/>
      <c r="F41" s="136"/>
      <c r="G41" s="136"/>
      <c r="H41" s="136"/>
      <c r="I41" s="136"/>
      <c r="J41" s="136"/>
      <c r="K41" s="136"/>
      <c r="L41" s="136"/>
      <c r="M41" s="136"/>
      <c r="N41" s="136"/>
      <c r="O41" s="136"/>
    </row>
    <row r="42" spans="2:15">
      <c r="B42" s="135"/>
      <c r="C42" s="437" t="s">
        <v>60</v>
      </c>
      <c r="D42" s="135"/>
      <c r="E42" s="135"/>
      <c r="F42" s="136"/>
      <c r="G42" s="136"/>
      <c r="H42" s="136"/>
      <c r="I42" s="136"/>
      <c r="J42" s="136"/>
      <c r="K42" s="136"/>
      <c r="L42" s="136"/>
      <c r="M42" s="136"/>
      <c r="N42" s="136"/>
      <c r="O42" s="136"/>
    </row>
    <row r="43" spans="2:15">
      <c r="B43" s="135"/>
      <c r="C43" s="209" t="s">
        <v>276</v>
      </c>
      <c r="D43" s="137"/>
      <c r="E43" s="137"/>
      <c r="F43" s="136"/>
      <c r="G43" s="136"/>
      <c r="H43" s="136"/>
      <c r="I43" s="136"/>
      <c r="J43" s="136"/>
      <c r="K43" s="136"/>
      <c r="L43" s="136"/>
      <c r="M43" s="136"/>
      <c r="N43" s="136"/>
      <c r="O43" s="136"/>
    </row>
    <row r="44" spans="2:15">
      <c r="B44" s="135"/>
      <c r="C44" s="210" t="s">
        <v>277</v>
      </c>
      <c r="D44" s="138"/>
      <c r="E44" s="138"/>
      <c r="F44" s="136"/>
      <c r="G44" s="136"/>
      <c r="H44" s="136"/>
      <c r="I44" s="136"/>
      <c r="J44" s="136"/>
      <c r="K44" s="136"/>
      <c r="L44" s="136"/>
      <c r="M44" s="136"/>
      <c r="N44" s="136"/>
      <c r="O44" s="136"/>
    </row>
    <row r="45" spans="2:15">
      <c r="B45" s="135"/>
      <c r="C45" s="204" t="s">
        <v>278</v>
      </c>
      <c r="D45" s="136"/>
      <c r="E45" s="136"/>
      <c r="F45" s="136"/>
      <c r="G45" s="136"/>
      <c r="H45" s="136"/>
      <c r="I45" s="136"/>
      <c r="J45" s="136"/>
      <c r="K45" s="136"/>
      <c r="L45" s="136"/>
      <c r="M45" s="136"/>
      <c r="N45" s="136"/>
      <c r="O45" s="136"/>
    </row>
    <row r="46" spans="2:15">
      <c r="B46" s="135"/>
      <c r="C46" s="204" t="s">
        <v>278</v>
      </c>
      <c r="D46" s="136"/>
      <c r="E46" s="136"/>
      <c r="F46" s="136"/>
      <c r="G46" s="136"/>
      <c r="H46" s="136"/>
      <c r="I46" s="136"/>
      <c r="J46" s="136"/>
      <c r="K46" s="136"/>
      <c r="L46" s="136"/>
      <c r="M46" s="136"/>
      <c r="N46" s="136"/>
      <c r="O46" s="136"/>
    </row>
    <row r="47" spans="2:15">
      <c r="B47" s="135"/>
      <c r="C47" s="210" t="s">
        <v>279</v>
      </c>
      <c r="D47" s="138"/>
      <c r="E47" s="138"/>
      <c r="F47" s="136"/>
      <c r="G47" s="136"/>
      <c r="H47" s="136"/>
      <c r="I47" s="136"/>
      <c r="J47" s="136"/>
      <c r="K47" s="136"/>
      <c r="L47" s="136"/>
      <c r="M47" s="136"/>
      <c r="N47" s="136"/>
      <c r="O47" s="136"/>
    </row>
    <row r="48" spans="2:15">
      <c r="B48" s="135"/>
      <c r="C48" s="204" t="s">
        <v>278</v>
      </c>
      <c r="D48" s="136"/>
      <c r="E48" s="136"/>
      <c r="F48" s="136"/>
      <c r="G48" s="136"/>
      <c r="H48" s="136"/>
      <c r="I48" s="136"/>
      <c r="J48" s="136"/>
      <c r="K48" s="136"/>
      <c r="L48" s="136"/>
      <c r="M48" s="136"/>
      <c r="N48" s="136"/>
      <c r="O48" s="136"/>
    </row>
    <row r="49" spans="2:15">
      <c r="B49" s="135"/>
      <c r="C49" s="204" t="s">
        <v>278</v>
      </c>
      <c r="D49" s="136"/>
      <c r="E49" s="136"/>
      <c r="F49" s="136"/>
      <c r="G49" s="136"/>
      <c r="H49" s="136"/>
      <c r="I49" s="136"/>
      <c r="J49" s="136"/>
      <c r="K49" s="136"/>
      <c r="L49" s="136"/>
      <c r="M49" s="136"/>
      <c r="N49" s="136"/>
      <c r="O49" s="136"/>
    </row>
    <row r="50" spans="2:15">
      <c r="B50" s="135"/>
      <c r="C50" s="208" t="s">
        <v>280</v>
      </c>
      <c r="D50" s="135"/>
      <c r="E50" s="135"/>
      <c r="F50" s="136"/>
      <c r="G50" s="136"/>
      <c r="H50" s="136"/>
      <c r="I50" s="136"/>
      <c r="J50" s="136"/>
      <c r="K50" s="136"/>
      <c r="L50" s="136"/>
      <c r="M50" s="136"/>
      <c r="N50" s="136"/>
      <c r="O50" s="136"/>
    </row>
    <row r="51" spans="2:15">
      <c r="B51" s="135"/>
      <c r="C51" s="204" t="s">
        <v>278</v>
      </c>
      <c r="D51" s="136"/>
      <c r="E51" s="136"/>
      <c r="F51" s="136"/>
      <c r="G51" s="136"/>
      <c r="H51" s="136"/>
      <c r="I51" s="136"/>
      <c r="J51" s="136"/>
      <c r="K51" s="136"/>
      <c r="L51" s="136"/>
      <c r="M51" s="136"/>
      <c r="N51" s="136"/>
      <c r="O51" s="136"/>
    </row>
    <row r="52" spans="2:15">
      <c r="B52" s="135"/>
      <c r="C52" s="204" t="s">
        <v>278</v>
      </c>
      <c r="D52" s="136"/>
      <c r="E52" s="136"/>
      <c r="F52" s="136"/>
      <c r="G52" s="136"/>
      <c r="H52" s="136"/>
      <c r="I52" s="136"/>
      <c r="J52" s="136"/>
      <c r="K52" s="136"/>
      <c r="L52" s="136"/>
      <c r="M52" s="136"/>
      <c r="N52" s="136"/>
      <c r="O52" s="136"/>
    </row>
    <row r="53" spans="2:15">
      <c r="B53" s="135"/>
      <c r="C53" s="211"/>
      <c r="D53" s="139"/>
      <c r="E53" s="139"/>
      <c r="F53" s="136"/>
      <c r="G53" s="136"/>
      <c r="H53" s="136"/>
      <c r="I53" s="136"/>
      <c r="J53" s="136"/>
      <c r="K53" s="136"/>
      <c r="L53" s="136"/>
      <c r="M53" s="136"/>
      <c r="N53" s="136"/>
      <c r="O53" s="136"/>
    </row>
    <row r="54" spans="2:15">
      <c r="B54" s="135"/>
      <c r="C54" s="446" t="s">
        <v>70</v>
      </c>
      <c r="D54" s="137"/>
      <c r="E54" s="137"/>
      <c r="F54" s="136"/>
      <c r="G54" s="136"/>
      <c r="H54" s="136"/>
      <c r="I54" s="136"/>
      <c r="J54" s="136"/>
      <c r="K54" s="136"/>
      <c r="L54" s="136"/>
      <c r="M54" s="136"/>
      <c r="N54" s="136"/>
      <c r="O54" s="136"/>
    </row>
    <row r="55" spans="2:15">
      <c r="B55" s="135"/>
      <c r="C55" s="209" t="s">
        <v>276</v>
      </c>
      <c r="D55" s="137"/>
      <c r="E55" s="137"/>
      <c r="F55" s="136"/>
      <c r="G55" s="136"/>
      <c r="H55" s="136"/>
      <c r="I55" s="136"/>
      <c r="J55" s="136"/>
      <c r="K55" s="136"/>
      <c r="L55" s="136"/>
      <c r="M55" s="136"/>
      <c r="N55" s="136"/>
      <c r="O55" s="136"/>
    </row>
    <row r="56" spans="2:15">
      <c r="B56" s="135"/>
      <c r="C56" s="210" t="s">
        <v>277</v>
      </c>
      <c r="D56" s="138"/>
      <c r="E56" s="138"/>
      <c r="F56" s="136"/>
      <c r="G56" s="136"/>
      <c r="H56" s="136"/>
      <c r="I56" s="136"/>
      <c r="J56" s="136"/>
      <c r="K56" s="136"/>
      <c r="L56" s="136"/>
      <c r="M56" s="136"/>
      <c r="N56" s="136"/>
      <c r="O56" s="136"/>
    </row>
    <row r="57" spans="2:15">
      <c r="B57" s="135"/>
      <c r="C57" s="204" t="s">
        <v>278</v>
      </c>
      <c r="D57" s="136"/>
      <c r="E57" s="136"/>
      <c r="F57" s="136"/>
      <c r="G57" s="136"/>
      <c r="H57" s="136"/>
      <c r="I57" s="136"/>
      <c r="J57" s="136"/>
      <c r="K57" s="136"/>
      <c r="L57" s="136"/>
      <c r="M57" s="136"/>
      <c r="N57" s="136"/>
      <c r="O57" s="136"/>
    </row>
    <row r="58" spans="2:15">
      <c r="B58" s="135"/>
      <c r="C58" s="204" t="s">
        <v>278</v>
      </c>
      <c r="D58" s="136"/>
      <c r="E58" s="136"/>
      <c r="F58" s="136"/>
      <c r="G58" s="136"/>
      <c r="H58" s="136"/>
      <c r="I58" s="136"/>
      <c r="J58" s="136"/>
      <c r="K58" s="136"/>
      <c r="L58" s="136"/>
      <c r="M58" s="136"/>
      <c r="N58" s="136"/>
      <c r="O58" s="136"/>
    </row>
    <row r="59" spans="2:15">
      <c r="B59" s="135"/>
      <c r="C59" s="210" t="s">
        <v>279</v>
      </c>
      <c r="D59" s="138"/>
      <c r="E59" s="138"/>
      <c r="F59" s="136"/>
      <c r="G59" s="136"/>
      <c r="H59" s="136"/>
      <c r="I59" s="136"/>
      <c r="J59" s="136"/>
      <c r="K59" s="136"/>
      <c r="L59" s="136"/>
      <c r="M59" s="136"/>
      <c r="N59" s="136"/>
      <c r="O59" s="136"/>
    </row>
    <row r="60" spans="2:15">
      <c r="B60" s="135"/>
      <c r="C60" s="204" t="s">
        <v>278</v>
      </c>
      <c r="D60" s="136"/>
      <c r="E60" s="136"/>
      <c r="F60" s="136"/>
      <c r="G60" s="136"/>
      <c r="H60" s="136"/>
      <c r="I60" s="136"/>
      <c r="J60" s="136"/>
      <c r="K60" s="136"/>
      <c r="L60" s="136"/>
      <c r="M60" s="136"/>
      <c r="N60" s="136"/>
      <c r="O60" s="136"/>
    </row>
    <row r="61" spans="2:15">
      <c r="B61" s="135"/>
      <c r="C61" s="204" t="s">
        <v>278</v>
      </c>
      <c r="D61" s="136"/>
      <c r="E61" s="136"/>
      <c r="F61" s="136"/>
      <c r="G61" s="136"/>
      <c r="H61" s="136"/>
      <c r="I61" s="136"/>
      <c r="J61" s="136"/>
      <c r="K61" s="136"/>
      <c r="L61" s="136"/>
      <c r="M61" s="136"/>
      <c r="N61" s="136"/>
      <c r="O61" s="136"/>
    </row>
    <row r="62" spans="2:15">
      <c r="B62" s="135"/>
      <c r="C62" s="208" t="s">
        <v>280</v>
      </c>
      <c r="D62" s="135"/>
      <c r="E62" s="135"/>
      <c r="F62" s="136"/>
      <c r="G62" s="136"/>
      <c r="H62" s="136"/>
      <c r="I62" s="136"/>
      <c r="J62" s="136"/>
      <c r="K62" s="136"/>
      <c r="L62" s="136"/>
      <c r="M62" s="136"/>
      <c r="N62" s="136"/>
      <c r="O62" s="136"/>
    </row>
    <row r="63" spans="2:15">
      <c r="B63" s="135"/>
      <c r="C63" s="204" t="s">
        <v>278</v>
      </c>
      <c r="D63" s="136"/>
      <c r="E63" s="136"/>
      <c r="F63" s="136"/>
      <c r="G63" s="136"/>
      <c r="H63" s="136"/>
      <c r="I63" s="136"/>
      <c r="J63" s="136"/>
      <c r="K63" s="136"/>
      <c r="L63" s="136"/>
      <c r="M63" s="136"/>
      <c r="N63" s="136"/>
      <c r="O63" s="136"/>
    </row>
    <row r="64" spans="2:15">
      <c r="B64" s="135"/>
      <c r="C64" s="204" t="s">
        <v>278</v>
      </c>
      <c r="D64" s="136"/>
      <c r="E64" s="136"/>
      <c r="F64" s="136"/>
      <c r="G64" s="136"/>
      <c r="H64" s="136"/>
      <c r="I64" s="136"/>
      <c r="J64" s="136"/>
      <c r="K64" s="136"/>
      <c r="L64" s="136"/>
      <c r="M64" s="136"/>
      <c r="N64" s="136"/>
      <c r="O64" s="136"/>
    </row>
    <row r="65" spans="2:15">
      <c r="B65" s="135"/>
      <c r="C65" s="211"/>
      <c r="D65" s="139"/>
      <c r="E65" s="139"/>
      <c r="F65" s="136"/>
      <c r="G65" s="136"/>
      <c r="H65" s="136"/>
      <c r="I65" s="136"/>
      <c r="J65" s="136"/>
      <c r="K65" s="136"/>
      <c r="L65" s="136"/>
      <c r="M65" s="136"/>
      <c r="N65" s="136"/>
      <c r="O65" s="136"/>
    </row>
    <row r="66" spans="2:15">
      <c r="B66" s="135"/>
      <c r="C66" s="446" t="s">
        <v>71</v>
      </c>
      <c r="D66" s="137"/>
      <c r="E66" s="137"/>
      <c r="F66" s="136"/>
      <c r="G66" s="136"/>
      <c r="H66" s="136"/>
      <c r="I66" s="136"/>
      <c r="J66" s="136"/>
      <c r="K66" s="136"/>
      <c r="L66" s="136"/>
      <c r="M66" s="136"/>
      <c r="N66" s="136"/>
      <c r="O66" s="136"/>
    </row>
    <row r="67" spans="2:15">
      <c r="B67" s="135"/>
      <c r="C67" s="209" t="s">
        <v>276</v>
      </c>
      <c r="D67" s="137"/>
      <c r="E67" s="137"/>
      <c r="F67" s="136"/>
      <c r="G67" s="136"/>
      <c r="H67" s="136"/>
      <c r="I67" s="136"/>
      <c r="J67" s="136"/>
      <c r="K67" s="136"/>
      <c r="L67" s="136"/>
      <c r="M67" s="136"/>
      <c r="N67" s="136"/>
      <c r="O67" s="136"/>
    </row>
    <row r="68" spans="2:15">
      <c r="B68" s="135"/>
      <c r="C68" s="210" t="s">
        <v>277</v>
      </c>
      <c r="D68" s="138"/>
      <c r="E68" s="138"/>
      <c r="F68" s="136"/>
      <c r="G68" s="136"/>
      <c r="H68" s="136"/>
      <c r="I68" s="136"/>
      <c r="J68" s="136"/>
      <c r="K68" s="136"/>
      <c r="L68" s="136"/>
      <c r="M68" s="136"/>
      <c r="N68" s="136"/>
      <c r="O68" s="136"/>
    </row>
    <row r="69" spans="2:15">
      <c r="B69" s="135"/>
      <c r="C69" s="204" t="s">
        <v>278</v>
      </c>
      <c r="D69" s="136"/>
      <c r="E69" s="136"/>
      <c r="F69" s="136"/>
      <c r="G69" s="136"/>
      <c r="H69" s="136"/>
      <c r="I69" s="136"/>
      <c r="J69" s="136"/>
      <c r="K69" s="136"/>
      <c r="L69" s="136"/>
      <c r="M69" s="136"/>
      <c r="N69" s="136"/>
      <c r="O69" s="136"/>
    </row>
    <row r="70" spans="2:15">
      <c r="B70" s="135"/>
      <c r="C70" s="204" t="s">
        <v>278</v>
      </c>
      <c r="D70" s="136"/>
      <c r="E70" s="136"/>
      <c r="F70" s="136"/>
      <c r="G70" s="136"/>
      <c r="H70" s="136"/>
      <c r="I70" s="136"/>
      <c r="J70" s="136"/>
      <c r="K70" s="136"/>
      <c r="L70" s="136"/>
      <c r="M70" s="136"/>
      <c r="N70" s="136"/>
      <c r="O70" s="136"/>
    </row>
    <row r="71" spans="2:15">
      <c r="B71" s="135"/>
      <c r="C71" s="210" t="s">
        <v>279</v>
      </c>
      <c r="D71" s="138"/>
      <c r="E71" s="138"/>
      <c r="F71" s="136"/>
      <c r="G71" s="136"/>
      <c r="H71" s="136"/>
      <c r="I71" s="136"/>
      <c r="J71" s="136"/>
      <c r="K71" s="136"/>
      <c r="L71" s="136"/>
      <c r="M71" s="136"/>
      <c r="N71" s="136"/>
      <c r="O71" s="136"/>
    </row>
    <row r="72" spans="2:15">
      <c r="B72" s="135"/>
      <c r="C72" s="204" t="s">
        <v>278</v>
      </c>
      <c r="D72" s="136"/>
      <c r="E72" s="136"/>
      <c r="F72" s="136"/>
      <c r="G72" s="136"/>
      <c r="H72" s="136"/>
      <c r="I72" s="136"/>
      <c r="J72" s="136"/>
      <c r="K72" s="136"/>
      <c r="L72" s="136"/>
      <c r="M72" s="136"/>
      <c r="N72" s="136"/>
      <c r="O72" s="136"/>
    </row>
    <row r="73" spans="2:15">
      <c r="B73" s="135"/>
      <c r="C73" s="204" t="s">
        <v>278</v>
      </c>
      <c r="D73" s="136"/>
      <c r="E73" s="136"/>
      <c r="F73" s="136"/>
      <c r="G73" s="136"/>
      <c r="H73" s="136"/>
      <c r="I73" s="136"/>
      <c r="J73" s="136"/>
      <c r="K73" s="136"/>
      <c r="L73" s="136"/>
      <c r="M73" s="136"/>
      <c r="N73" s="136"/>
      <c r="O73" s="136"/>
    </row>
    <row r="74" spans="2:15">
      <c r="B74" s="135"/>
      <c r="C74" s="208" t="s">
        <v>280</v>
      </c>
      <c r="D74" s="135"/>
      <c r="E74" s="135"/>
      <c r="F74" s="136"/>
      <c r="G74" s="136"/>
      <c r="H74" s="136"/>
      <c r="I74" s="136"/>
      <c r="J74" s="136"/>
      <c r="K74" s="136"/>
      <c r="L74" s="136"/>
      <c r="M74" s="136"/>
      <c r="N74" s="136"/>
      <c r="O74" s="136"/>
    </row>
    <row r="75" spans="2:15">
      <c r="B75" s="135"/>
      <c r="C75" s="204" t="s">
        <v>278</v>
      </c>
      <c r="D75" s="136"/>
      <c r="E75" s="136"/>
      <c r="F75" s="136"/>
      <c r="G75" s="136"/>
      <c r="H75" s="136"/>
      <c r="I75" s="136"/>
      <c r="J75" s="136"/>
      <c r="K75" s="136"/>
      <c r="L75" s="136"/>
      <c r="M75" s="136"/>
      <c r="N75" s="136"/>
      <c r="O75" s="136"/>
    </row>
    <row r="76" spans="2:15">
      <c r="B76" s="135"/>
      <c r="C76" s="204" t="s">
        <v>278</v>
      </c>
      <c r="D76" s="136"/>
      <c r="E76" s="136"/>
      <c r="F76" s="136"/>
      <c r="G76" s="136"/>
      <c r="H76" s="136"/>
      <c r="I76" s="136"/>
      <c r="J76" s="136"/>
      <c r="K76" s="136"/>
      <c r="L76" s="136"/>
      <c r="M76" s="136"/>
      <c r="N76" s="136"/>
      <c r="O76" s="136"/>
    </row>
    <row r="77" spans="2:15">
      <c r="B77" s="135"/>
      <c r="C77" s="211"/>
      <c r="D77" s="139"/>
      <c r="E77" s="139"/>
      <c r="F77" s="136"/>
      <c r="G77" s="136"/>
      <c r="H77" s="136"/>
      <c r="I77" s="136"/>
      <c r="J77" s="136"/>
      <c r="K77" s="136"/>
      <c r="L77" s="136"/>
      <c r="M77" s="136"/>
      <c r="N77" s="136"/>
      <c r="O77" s="136"/>
    </row>
    <row r="78" spans="2:15">
      <c r="B78" s="135"/>
      <c r="C78" s="446" t="s">
        <v>72</v>
      </c>
      <c r="D78" s="137"/>
      <c r="E78" s="137"/>
      <c r="F78" s="136"/>
      <c r="G78" s="136"/>
      <c r="H78" s="136"/>
      <c r="I78" s="136"/>
      <c r="J78" s="136"/>
      <c r="K78" s="136"/>
      <c r="L78" s="136"/>
      <c r="M78" s="136"/>
      <c r="N78" s="136"/>
      <c r="O78" s="136"/>
    </row>
    <row r="79" spans="2:15">
      <c r="B79" s="135"/>
      <c r="C79" s="204" t="s">
        <v>278</v>
      </c>
      <c r="D79" s="136"/>
      <c r="E79" s="136"/>
      <c r="F79" s="136"/>
      <c r="G79" s="136"/>
      <c r="H79" s="136"/>
      <c r="I79" s="136"/>
      <c r="J79" s="136"/>
      <c r="K79" s="136"/>
      <c r="L79" s="136"/>
      <c r="M79" s="136"/>
      <c r="N79" s="136"/>
      <c r="O79" s="136"/>
    </row>
    <row r="80" spans="2:15">
      <c r="B80" s="135"/>
      <c r="C80" s="204" t="s">
        <v>278</v>
      </c>
      <c r="D80" s="136"/>
      <c r="E80" s="136"/>
      <c r="F80" s="136"/>
      <c r="G80" s="136"/>
      <c r="H80" s="136"/>
      <c r="I80" s="136"/>
      <c r="J80" s="136"/>
      <c r="K80" s="136"/>
      <c r="L80" s="136"/>
      <c r="M80" s="136"/>
      <c r="N80" s="136"/>
      <c r="O80" s="136"/>
    </row>
    <row r="81" spans="2:15">
      <c r="B81" s="135"/>
      <c r="C81" s="211"/>
      <c r="D81" s="139"/>
      <c r="E81" s="139"/>
      <c r="F81" s="136"/>
      <c r="G81" s="136"/>
      <c r="H81" s="136"/>
      <c r="I81" s="136"/>
      <c r="J81" s="136"/>
      <c r="K81" s="136"/>
      <c r="L81" s="136"/>
      <c r="M81" s="136"/>
      <c r="N81" s="136"/>
      <c r="O81" s="136"/>
    </row>
    <row r="82" spans="2:15">
      <c r="B82" s="135"/>
      <c r="C82" s="446" t="s">
        <v>73</v>
      </c>
      <c r="D82" s="137"/>
      <c r="E82" s="137"/>
      <c r="F82" s="136"/>
      <c r="G82" s="136"/>
      <c r="H82" s="136"/>
      <c r="I82" s="136"/>
      <c r="J82" s="136"/>
      <c r="K82" s="136"/>
      <c r="L82" s="136"/>
      <c r="M82" s="136"/>
      <c r="N82" s="136"/>
      <c r="O82" s="136"/>
    </row>
    <row r="83" spans="2:15">
      <c r="B83" s="135"/>
      <c r="C83" s="204" t="s">
        <v>278</v>
      </c>
      <c r="D83" s="136"/>
      <c r="E83" s="136"/>
      <c r="F83" s="136"/>
      <c r="G83" s="136"/>
      <c r="H83" s="136"/>
      <c r="I83" s="136"/>
      <c r="J83" s="136"/>
      <c r="K83" s="136"/>
      <c r="L83" s="136"/>
      <c r="M83" s="136"/>
      <c r="N83" s="136"/>
      <c r="O83" s="136"/>
    </row>
    <row r="84" spans="2:15">
      <c r="B84" s="135"/>
      <c r="C84" s="204" t="s">
        <v>278</v>
      </c>
      <c r="D84" s="136"/>
      <c r="E84" s="136"/>
      <c r="F84" s="136"/>
      <c r="G84" s="136"/>
      <c r="H84" s="136"/>
      <c r="I84" s="136"/>
      <c r="J84" s="136"/>
      <c r="K84" s="136"/>
      <c r="L84" s="136"/>
      <c r="M84" s="136"/>
      <c r="N84" s="136"/>
      <c r="O84" s="136"/>
    </row>
    <row r="85" spans="2:15">
      <c r="B85" s="135"/>
      <c r="C85" s="211"/>
      <c r="D85" s="136"/>
      <c r="E85" s="136"/>
      <c r="F85" s="136"/>
      <c r="G85" s="136"/>
      <c r="H85" s="136"/>
      <c r="I85" s="136"/>
      <c r="J85" s="136"/>
      <c r="K85" s="136"/>
      <c r="L85" s="136"/>
      <c r="M85" s="136"/>
      <c r="N85" s="136"/>
      <c r="O85" s="136"/>
    </row>
    <row r="86" spans="2:15">
      <c r="B86" s="135"/>
      <c r="C86" s="446" t="s">
        <v>74</v>
      </c>
      <c r="D86" s="135"/>
      <c r="E86" s="135"/>
      <c r="F86" s="136"/>
      <c r="G86" s="136"/>
      <c r="H86" s="136"/>
      <c r="I86" s="136"/>
      <c r="J86" s="136"/>
      <c r="K86" s="136"/>
      <c r="L86" s="136"/>
      <c r="M86" s="136"/>
      <c r="N86" s="136"/>
      <c r="O86" s="136"/>
    </row>
    <row r="87" spans="2:15">
      <c r="B87" s="135"/>
      <c r="C87" s="204" t="s">
        <v>278</v>
      </c>
      <c r="D87" s="135"/>
      <c r="E87" s="135"/>
      <c r="F87" s="136"/>
      <c r="G87" s="136"/>
      <c r="H87" s="136"/>
      <c r="I87" s="136"/>
      <c r="J87" s="136"/>
      <c r="K87" s="136"/>
      <c r="L87" s="136"/>
      <c r="M87" s="136"/>
      <c r="N87" s="136"/>
      <c r="O87" s="136"/>
    </row>
    <row r="88" spans="2:15">
      <c r="B88" s="135"/>
      <c r="C88" s="204" t="s">
        <v>278</v>
      </c>
      <c r="D88" s="135"/>
      <c r="E88" s="135"/>
      <c r="F88" s="136"/>
      <c r="G88" s="136"/>
      <c r="H88" s="136"/>
      <c r="I88" s="136"/>
      <c r="J88" s="136"/>
      <c r="K88" s="136"/>
      <c r="L88" s="136"/>
      <c r="M88" s="136"/>
      <c r="N88" s="136"/>
      <c r="O88" s="136"/>
    </row>
    <row r="89" spans="2:15">
      <c r="B89" s="136"/>
      <c r="C89" s="204"/>
      <c r="D89" s="136"/>
      <c r="E89" s="136"/>
      <c r="F89" s="136"/>
      <c r="G89" s="136"/>
      <c r="H89" s="136"/>
      <c r="I89" s="136"/>
      <c r="J89" s="136"/>
      <c r="K89" s="136"/>
      <c r="L89" s="136"/>
      <c r="M89" s="136"/>
      <c r="N89" s="136"/>
      <c r="O89" s="136"/>
    </row>
    <row r="90" spans="2:15">
      <c r="B90" s="140"/>
      <c r="C90" s="212" t="s">
        <v>281</v>
      </c>
      <c r="D90" s="148"/>
      <c r="E90" s="148"/>
      <c r="F90" s="140"/>
      <c r="G90" s="140"/>
      <c r="H90" s="140"/>
      <c r="I90" s="140"/>
      <c r="J90" s="140"/>
      <c r="K90" s="140"/>
      <c r="L90" s="140"/>
      <c r="M90" s="140"/>
      <c r="N90" s="140"/>
      <c r="O90" s="140"/>
    </row>
    <row r="92" spans="2:15">
      <c r="B92" s="270" t="s">
        <v>282</v>
      </c>
      <c r="C92" s="270"/>
      <c r="D92" s="270"/>
      <c r="E92" s="270"/>
      <c r="F92" s="270"/>
    </row>
  </sheetData>
  <mergeCells count="12">
    <mergeCell ref="P9:V11"/>
    <mergeCell ref="B9:B11"/>
    <mergeCell ref="C9:C11"/>
    <mergeCell ref="D9:D11"/>
    <mergeCell ref="E9:E11"/>
    <mergeCell ref="F9:F11"/>
    <mergeCell ref="G9:G11"/>
    <mergeCell ref="H9:H11"/>
    <mergeCell ref="I9:I11"/>
    <mergeCell ref="J9:J11"/>
    <mergeCell ref="K9:N10"/>
    <mergeCell ref="O9:O11"/>
  </mergeCells>
  <hyperlinks>
    <hyperlink ref="D16" r:id="rId1" display="MERC/Capex/SLDC/@020-21/E-Letter"/>
  </hyperlinks>
  <printOptions verticalCentered="1"/>
  <pageMargins left="1.08" right="0" top="0.25" bottom="0.25" header="0.25" footer="0.25"/>
  <pageSetup paperSize="9" scale="38" orientation="landscape" r:id="rId2"/>
  <headerFooter alignWithMargins="0">
    <oddHeader>&amp;F</oddHeader>
  </headerFooter>
</worksheet>
</file>

<file path=xl/worksheets/sheet16.xml><?xml version="1.0" encoding="utf-8"?>
<worksheet xmlns="http://schemas.openxmlformats.org/spreadsheetml/2006/main" xmlns:r="http://schemas.openxmlformats.org/officeDocument/2006/relationships">
  <dimension ref="A1:AH113"/>
  <sheetViews>
    <sheetView showGridLines="0" view="pageBreakPreview" topLeftCell="Q102" zoomScale="75" zoomScaleNormal="68" zoomScaleSheetLayoutView="70" workbookViewId="0">
      <selection activeCell="Q76" sqref="Q76"/>
    </sheetView>
  </sheetViews>
  <sheetFormatPr defaultColWidth="9.28515625" defaultRowHeight="15"/>
  <cols>
    <col min="1" max="1" width="4.28515625" style="1" customWidth="1"/>
    <col min="2" max="2" width="6.28515625" style="1" customWidth="1"/>
    <col min="3" max="3" width="36.28515625" style="1" customWidth="1"/>
    <col min="4" max="4" width="18.7109375" style="1" customWidth="1"/>
    <col min="5" max="5" width="23.28515625" style="1" customWidth="1"/>
    <col min="6" max="23" width="18.7109375" style="1" customWidth="1"/>
    <col min="24" max="16384" width="9.28515625" style="1"/>
  </cols>
  <sheetData>
    <row r="1" spans="1:19">
      <c r="B1" s="6"/>
    </row>
    <row r="2" spans="1:19">
      <c r="B2" s="2"/>
      <c r="C2" s="2"/>
      <c r="D2" s="2"/>
      <c r="E2" s="2"/>
      <c r="G2" s="2"/>
      <c r="H2" s="81" t="s">
        <v>0</v>
      </c>
      <c r="I2" s="2"/>
      <c r="K2" s="2"/>
      <c r="L2" s="2"/>
      <c r="M2" s="2"/>
      <c r="N2" s="2"/>
      <c r="O2" s="2"/>
      <c r="P2" s="2"/>
      <c r="Q2" s="15"/>
      <c r="R2" s="15"/>
      <c r="S2" s="15"/>
    </row>
    <row r="3" spans="1:19">
      <c r="B3" s="2"/>
      <c r="C3" s="2"/>
      <c r="D3" s="2"/>
      <c r="E3" s="2"/>
      <c r="G3" s="2"/>
      <c r="H3" s="88" t="s">
        <v>1</v>
      </c>
      <c r="I3" s="2"/>
      <c r="K3" s="2"/>
      <c r="L3" s="2"/>
      <c r="M3" s="2"/>
      <c r="N3" s="2"/>
      <c r="O3" s="2"/>
      <c r="P3" s="2"/>
      <c r="Q3" s="15"/>
      <c r="R3" s="15"/>
      <c r="S3" s="15"/>
    </row>
    <row r="4" spans="1:19">
      <c r="B4" s="15"/>
      <c r="C4" s="2"/>
      <c r="D4" s="2"/>
      <c r="E4" s="2"/>
      <c r="G4" s="2"/>
      <c r="H4" s="81" t="s">
        <v>311</v>
      </c>
      <c r="I4" s="2"/>
      <c r="K4" s="2"/>
      <c r="L4" s="2"/>
      <c r="M4" s="2"/>
      <c r="N4" s="2"/>
      <c r="O4" s="2"/>
      <c r="P4" s="2"/>
      <c r="Q4" s="15"/>
      <c r="R4" s="15"/>
      <c r="S4" s="15"/>
    </row>
    <row r="5" spans="1:19">
      <c r="C5" s="2"/>
      <c r="E5" s="8"/>
      <c r="G5" s="8"/>
      <c r="H5" s="8"/>
    </row>
    <row r="6" spans="1:19">
      <c r="B6" s="6"/>
      <c r="C6" s="6"/>
      <c r="E6" s="8"/>
      <c r="G6" s="8"/>
      <c r="H6" s="8"/>
    </row>
    <row r="7" spans="1:19">
      <c r="A7" s="19" t="s">
        <v>312</v>
      </c>
      <c r="B7" s="200" t="s">
        <v>313</v>
      </c>
      <c r="C7" s="200"/>
      <c r="D7" s="200"/>
      <c r="E7" s="200"/>
      <c r="F7" s="200"/>
      <c r="G7" s="200"/>
      <c r="H7" s="201"/>
      <c r="I7" s="226"/>
      <c r="J7" s="201"/>
      <c r="K7" s="226"/>
      <c r="L7" s="226"/>
      <c r="M7" s="201"/>
      <c r="N7" s="201"/>
      <c r="P7" s="201"/>
      <c r="Q7" s="201"/>
      <c r="R7" s="201"/>
      <c r="S7" s="201"/>
    </row>
    <row r="8" spans="1:19" ht="15.75" customHeight="1">
      <c r="A8" s="19"/>
      <c r="B8" s="271"/>
      <c r="C8" s="230"/>
      <c r="D8" s="230"/>
      <c r="E8" s="230"/>
      <c r="F8" s="230"/>
      <c r="G8" s="230"/>
      <c r="H8" s="201"/>
      <c r="I8" s="226"/>
      <c r="J8" s="201"/>
      <c r="K8" s="226"/>
      <c r="L8" s="226"/>
      <c r="M8" s="201"/>
      <c r="N8" s="201"/>
      <c r="P8" s="201"/>
      <c r="Q8" s="201"/>
      <c r="R8" s="201"/>
      <c r="S8" s="231" t="s">
        <v>1198</v>
      </c>
    </row>
    <row r="9" spans="1:19" ht="15.75" customHeight="1">
      <c r="A9" s="19"/>
      <c r="B9" s="1030" t="s">
        <v>2</v>
      </c>
      <c r="C9" s="1030" t="s">
        <v>57</v>
      </c>
      <c r="D9" s="1031" t="s">
        <v>58</v>
      </c>
      <c r="E9" s="1031"/>
      <c r="F9" s="1031"/>
      <c r="G9" s="1031"/>
      <c r="H9" s="1031" t="s">
        <v>59</v>
      </c>
      <c r="I9" s="1031"/>
      <c r="J9" s="1031"/>
      <c r="K9" s="1031"/>
      <c r="L9" s="1030" t="s">
        <v>60</v>
      </c>
      <c r="M9" s="1030"/>
      <c r="N9" s="1030"/>
      <c r="O9" s="1030"/>
      <c r="P9" s="1030" t="s">
        <v>70</v>
      </c>
      <c r="Q9" s="1030"/>
      <c r="R9" s="1030"/>
      <c r="S9" s="1030"/>
    </row>
    <row r="10" spans="1:19">
      <c r="A10" s="19"/>
      <c r="B10" s="1030"/>
      <c r="C10" s="1030"/>
      <c r="D10" s="1031" t="s">
        <v>267</v>
      </c>
      <c r="E10" s="1033"/>
      <c r="F10" s="1033"/>
      <c r="G10" s="1033"/>
      <c r="H10" s="1031" t="s">
        <v>267</v>
      </c>
      <c r="I10" s="1033"/>
      <c r="J10" s="1033"/>
      <c r="K10" s="1033"/>
      <c r="L10" s="1031" t="s">
        <v>295</v>
      </c>
      <c r="M10" s="1033"/>
      <c r="N10" s="1033"/>
      <c r="O10" s="1033"/>
      <c r="P10" s="1031" t="s">
        <v>86</v>
      </c>
      <c r="Q10" s="1033"/>
      <c r="R10" s="1033"/>
      <c r="S10" s="1033"/>
    </row>
    <row r="11" spans="1:19" s="9" customFormat="1" ht="53.85" customHeight="1">
      <c r="A11" s="19"/>
      <c r="B11" s="1030"/>
      <c r="C11" s="1030"/>
      <c r="D11" s="213" t="s">
        <v>314</v>
      </c>
      <c r="E11" s="213" t="s">
        <v>315</v>
      </c>
      <c r="F11" s="213" t="s">
        <v>316</v>
      </c>
      <c r="G11" s="213" t="s">
        <v>317</v>
      </c>
      <c r="H11" s="213" t="s">
        <v>314</v>
      </c>
      <c r="I11" s="213" t="s">
        <v>315</v>
      </c>
      <c r="J11" s="213" t="s">
        <v>316</v>
      </c>
      <c r="K11" s="213" t="s">
        <v>317</v>
      </c>
      <c r="L11" s="213" t="s">
        <v>314</v>
      </c>
      <c r="M11" s="213" t="s">
        <v>315</v>
      </c>
      <c r="N11" s="213" t="s">
        <v>316</v>
      </c>
      <c r="O11" s="213" t="s">
        <v>317</v>
      </c>
      <c r="P11" s="213" t="s">
        <v>314</v>
      </c>
      <c r="Q11" s="213" t="s">
        <v>315</v>
      </c>
      <c r="R11" s="213" t="s">
        <v>316</v>
      </c>
      <c r="S11" s="213" t="s">
        <v>317</v>
      </c>
    </row>
    <row r="12" spans="1:19" s="8" customFormat="1">
      <c r="A12" s="41"/>
      <c r="B12" s="198"/>
      <c r="C12" s="198"/>
      <c r="D12" s="198" t="s">
        <v>75</v>
      </c>
      <c r="E12" s="198" t="s">
        <v>76</v>
      </c>
      <c r="F12" s="198" t="s">
        <v>116</v>
      </c>
      <c r="G12" s="198" t="s">
        <v>318</v>
      </c>
      <c r="H12" s="198" t="s">
        <v>78</v>
      </c>
      <c r="I12" s="198" t="s">
        <v>79</v>
      </c>
      <c r="J12" s="198" t="s">
        <v>319</v>
      </c>
      <c r="K12" s="198" t="s">
        <v>320</v>
      </c>
      <c r="L12" s="198" t="s">
        <v>81</v>
      </c>
      <c r="M12" s="198" t="s">
        <v>82</v>
      </c>
      <c r="N12" s="198" t="s">
        <v>321</v>
      </c>
      <c r="O12" s="198" t="s">
        <v>322</v>
      </c>
      <c r="P12" s="198" t="s">
        <v>323</v>
      </c>
      <c r="Q12" s="198" t="s">
        <v>324</v>
      </c>
      <c r="R12" s="198" t="s">
        <v>325</v>
      </c>
      <c r="S12" s="198" t="s">
        <v>326</v>
      </c>
    </row>
    <row r="13" spans="1:19" s="8" customFormat="1">
      <c r="A13" s="36"/>
      <c r="B13" s="272"/>
      <c r="C13" s="301" t="s">
        <v>1253</v>
      </c>
      <c r="D13" s="476">
        <v>9.61</v>
      </c>
      <c r="E13" s="476"/>
      <c r="F13" s="476"/>
      <c r="G13" s="476">
        <f>D13+E13-F13</f>
        <v>9.61</v>
      </c>
      <c r="H13" s="477">
        <f>G13</f>
        <v>9.61</v>
      </c>
      <c r="I13" s="477"/>
      <c r="J13" s="477"/>
      <c r="K13" s="476">
        <f>H13+I13-J13</f>
        <v>9.61</v>
      </c>
      <c r="L13" s="477">
        <f>K13</f>
        <v>9.61</v>
      </c>
      <c r="M13" s="477"/>
      <c r="N13" s="477"/>
      <c r="O13" s="476">
        <f>L13+M13-N13</f>
        <v>9.61</v>
      </c>
      <c r="P13" s="477">
        <f>O13</f>
        <v>9.61</v>
      </c>
      <c r="Q13" s="633">
        <f>'F4.1 (N) New'!E14</f>
        <v>0</v>
      </c>
      <c r="R13" s="477"/>
      <c r="S13" s="476">
        <f>P13+Q13-R13</f>
        <v>9.61</v>
      </c>
    </row>
    <row r="14" spans="1:19" s="8" customFormat="1">
      <c r="A14" s="36"/>
      <c r="B14" s="272"/>
      <c r="C14" s="301" t="s">
        <v>1254</v>
      </c>
      <c r="D14" s="476">
        <v>2269.66</v>
      </c>
      <c r="E14" s="476"/>
      <c r="F14" s="476"/>
      <c r="G14" s="476">
        <f t="shared" ref="G14:G21" si="0">D14+E14-F14</f>
        <v>2269.66</v>
      </c>
      <c r="H14" s="477">
        <f t="shared" ref="H14:H21" si="1">G14</f>
        <v>2269.66</v>
      </c>
      <c r="I14" s="477"/>
      <c r="J14" s="477"/>
      <c r="K14" s="476">
        <f t="shared" ref="K14:K21" si="2">H14+I14-J14</f>
        <v>2269.66</v>
      </c>
      <c r="L14" s="477">
        <f t="shared" ref="L14:L21" si="3">K14</f>
        <v>2269.66</v>
      </c>
      <c r="M14" s="477"/>
      <c r="N14" s="477"/>
      <c r="O14" s="476">
        <f t="shared" ref="O14:O22" si="4">L14+M14-N14</f>
        <v>2269.66</v>
      </c>
      <c r="P14" s="477">
        <f t="shared" ref="P14:P22" si="5">O14</f>
        <v>2269.66</v>
      </c>
      <c r="Q14" s="633">
        <f>'F4.1 (N) New'!E15</f>
        <v>0</v>
      </c>
      <c r="R14" s="477"/>
      <c r="S14" s="476">
        <f t="shared" ref="S14:S22" si="6">P14+Q14-R14</f>
        <v>2269.66</v>
      </c>
    </row>
    <row r="15" spans="1:19">
      <c r="A15" s="36"/>
      <c r="B15" s="272"/>
      <c r="C15" s="301" t="s">
        <v>211</v>
      </c>
      <c r="D15" s="478">
        <v>4.76</v>
      </c>
      <c r="E15" s="478"/>
      <c r="F15" s="478"/>
      <c r="G15" s="476">
        <f t="shared" si="0"/>
        <v>4.76</v>
      </c>
      <c r="H15" s="477">
        <f t="shared" si="1"/>
        <v>4.76</v>
      </c>
      <c r="I15" s="477"/>
      <c r="J15" s="477"/>
      <c r="K15" s="476">
        <f t="shared" si="2"/>
        <v>4.76</v>
      </c>
      <c r="L15" s="477">
        <f t="shared" si="3"/>
        <v>4.76</v>
      </c>
      <c r="M15" s="477"/>
      <c r="N15" s="477"/>
      <c r="O15" s="476">
        <f t="shared" si="4"/>
        <v>4.76</v>
      </c>
      <c r="P15" s="477">
        <f t="shared" si="5"/>
        <v>4.76</v>
      </c>
      <c r="Q15" s="633">
        <f>'F4.1 (N) New'!E16</f>
        <v>0</v>
      </c>
      <c r="R15" s="477"/>
      <c r="S15" s="476">
        <f t="shared" si="6"/>
        <v>4.76</v>
      </c>
    </row>
    <row r="16" spans="1:19">
      <c r="A16" s="19"/>
      <c r="B16" s="272"/>
      <c r="C16" s="301" t="s">
        <v>1255</v>
      </c>
      <c r="D16" s="476">
        <v>33.14</v>
      </c>
      <c r="E16" s="476"/>
      <c r="F16" s="476"/>
      <c r="G16" s="476">
        <f t="shared" si="0"/>
        <v>33.14</v>
      </c>
      <c r="H16" s="477">
        <f t="shared" si="1"/>
        <v>33.14</v>
      </c>
      <c r="I16" s="477"/>
      <c r="J16" s="477"/>
      <c r="K16" s="476">
        <f t="shared" si="2"/>
        <v>33.14</v>
      </c>
      <c r="L16" s="477">
        <f t="shared" si="3"/>
        <v>33.14</v>
      </c>
      <c r="M16" s="477"/>
      <c r="N16" s="477"/>
      <c r="O16" s="476">
        <f t="shared" si="4"/>
        <v>33.14</v>
      </c>
      <c r="P16" s="477">
        <f t="shared" si="5"/>
        <v>33.14</v>
      </c>
      <c r="Q16" s="633">
        <f>'F4.1 (N) New'!E17</f>
        <v>0</v>
      </c>
      <c r="R16" s="477"/>
      <c r="S16" s="476">
        <f t="shared" si="6"/>
        <v>33.14</v>
      </c>
    </row>
    <row r="17" spans="1:19">
      <c r="A17" s="19"/>
      <c r="B17" s="272"/>
      <c r="C17" s="301" t="s">
        <v>582</v>
      </c>
      <c r="D17" s="476">
        <v>5048.21</v>
      </c>
      <c r="E17" s="476"/>
      <c r="F17" s="476"/>
      <c r="G17" s="476">
        <f t="shared" si="0"/>
        <v>5048.21</v>
      </c>
      <c r="H17" s="477">
        <f t="shared" si="1"/>
        <v>5048.21</v>
      </c>
      <c r="I17" s="477"/>
      <c r="J17" s="477"/>
      <c r="K17" s="476">
        <f t="shared" si="2"/>
        <v>5048.21</v>
      </c>
      <c r="L17" s="477">
        <f t="shared" si="3"/>
        <v>5048.21</v>
      </c>
      <c r="M17" s="477"/>
      <c r="N17" s="477"/>
      <c r="O17" s="476">
        <f t="shared" si="4"/>
        <v>5048.21</v>
      </c>
      <c r="P17" s="477">
        <f t="shared" si="5"/>
        <v>5048.21</v>
      </c>
      <c r="Q17" s="633">
        <f>'F4.1 (N) New'!E18</f>
        <v>0</v>
      </c>
      <c r="R17" s="477"/>
      <c r="S17" s="476">
        <f t="shared" si="6"/>
        <v>5048.21</v>
      </c>
    </row>
    <row r="18" spans="1:19">
      <c r="A18" s="19"/>
      <c r="B18" s="272"/>
      <c r="C18" s="301" t="s">
        <v>1256</v>
      </c>
      <c r="D18" s="476">
        <v>13.73</v>
      </c>
      <c r="E18" s="476"/>
      <c r="F18" s="476"/>
      <c r="G18" s="476">
        <f t="shared" si="0"/>
        <v>13.73</v>
      </c>
      <c r="H18" s="477">
        <f t="shared" si="1"/>
        <v>13.73</v>
      </c>
      <c r="I18" s="477"/>
      <c r="J18" s="477"/>
      <c r="K18" s="476">
        <f t="shared" si="2"/>
        <v>13.73</v>
      </c>
      <c r="L18" s="477">
        <f t="shared" si="3"/>
        <v>13.73</v>
      </c>
      <c r="M18" s="477"/>
      <c r="N18" s="477"/>
      <c r="O18" s="476">
        <f t="shared" si="4"/>
        <v>13.73</v>
      </c>
      <c r="P18" s="477">
        <f t="shared" si="5"/>
        <v>13.73</v>
      </c>
      <c r="Q18" s="633">
        <f>'F4.1 (N) New'!E19</f>
        <v>0</v>
      </c>
      <c r="R18" s="477"/>
      <c r="S18" s="476">
        <f t="shared" si="6"/>
        <v>13.73</v>
      </c>
    </row>
    <row r="19" spans="1:19">
      <c r="A19" s="19"/>
      <c r="B19" s="204"/>
      <c r="C19" s="301" t="s">
        <v>1257</v>
      </c>
      <c r="D19" s="476">
        <v>239.41</v>
      </c>
      <c r="E19" s="476"/>
      <c r="F19" s="476"/>
      <c r="G19" s="476">
        <f t="shared" si="0"/>
        <v>239.41</v>
      </c>
      <c r="H19" s="477">
        <f t="shared" si="1"/>
        <v>239.41</v>
      </c>
      <c r="I19" s="479"/>
      <c r="J19" s="479"/>
      <c r="K19" s="476">
        <f t="shared" si="2"/>
        <v>239.41</v>
      </c>
      <c r="L19" s="477">
        <f t="shared" si="3"/>
        <v>239.41</v>
      </c>
      <c r="M19" s="479"/>
      <c r="N19" s="479"/>
      <c r="O19" s="476">
        <f t="shared" si="4"/>
        <v>239.41</v>
      </c>
      <c r="P19" s="477">
        <f t="shared" si="5"/>
        <v>239.41</v>
      </c>
      <c r="Q19" s="633">
        <f>'F4.1 (N) New'!E20</f>
        <v>0</v>
      </c>
      <c r="R19" s="479"/>
      <c r="S19" s="476">
        <f t="shared" si="6"/>
        <v>239.41</v>
      </c>
    </row>
    <row r="20" spans="1:19">
      <c r="A20" s="19"/>
      <c r="B20" s="475"/>
      <c r="C20" s="301" t="s">
        <v>1258</v>
      </c>
      <c r="D20" s="480">
        <v>431.49</v>
      </c>
      <c r="E20" s="480"/>
      <c r="F20" s="480"/>
      <c r="G20" s="476">
        <f t="shared" si="0"/>
        <v>431.49</v>
      </c>
      <c r="H20" s="477">
        <f t="shared" si="1"/>
        <v>431.49</v>
      </c>
      <c r="I20" s="482"/>
      <c r="J20" s="482"/>
      <c r="K20" s="476">
        <f t="shared" si="2"/>
        <v>431.49</v>
      </c>
      <c r="L20" s="477">
        <f t="shared" si="3"/>
        <v>431.49</v>
      </c>
      <c r="M20" s="482"/>
      <c r="N20" s="482"/>
      <c r="O20" s="476">
        <f t="shared" si="4"/>
        <v>431.49</v>
      </c>
      <c r="P20" s="477">
        <f t="shared" si="5"/>
        <v>431.49</v>
      </c>
      <c r="Q20" s="633">
        <f>'F4.1 (N) New'!E21</f>
        <v>0</v>
      </c>
      <c r="R20" s="482"/>
      <c r="S20" s="476">
        <f t="shared" si="6"/>
        <v>431.49</v>
      </c>
    </row>
    <row r="21" spans="1:19">
      <c r="A21" s="19"/>
      <c r="B21" s="475"/>
      <c r="C21" s="301" t="s">
        <v>1259</v>
      </c>
      <c r="D21" s="480">
        <v>713.04</v>
      </c>
      <c r="E21" s="480"/>
      <c r="F21" s="480"/>
      <c r="G21" s="476">
        <f t="shared" si="0"/>
        <v>713.04</v>
      </c>
      <c r="H21" s="477">
        <f t="shared" si="1"/>
        <v>713.04</v>
      </c>
      <c r="I21" s="482"/>
      <c r="J21" s="482"/>
      <c r="K21" s="476">
        <f t="shared" si="2"/>
        <v>713.04</v>
      </c>
      <c r="L21" s="477">
        <f t="shared" si="3"/>
        <v>713.04</v>
      </c>
      <c r="M21" s="482"/>
      <c r="N21" s="482"/>
      <c r="O21" s="476">
        <f t="shared" si="4"/>
        <v>713.04</v>
      </c>
      <c r="P21" s="477">
        <f t="shared" si="5"/>
        <v>713.04</v>
      </c>
      <c r="Q21" s="633">
        <f ca="1">'F4.1 (N) New'!E22</f>
        <v>0</v>
      </c>
      <c r="R21" s="482"/>
      <c r="S21" s="476">
        <f t="shared" ca="1" si="6"/>
        <v>713.04</v>
      </c>
    </row>
    <row r="22" spans="1:19" ht="18">
      <c r="A22" s="19"/>
      <c r="B22" s="276"/>
      <c r="C22" s="239" t="s">
        <v>235</v>
      </c>
      <c r="D22" s="483">
        <v>8763.0400000000009</v>
      </c>
      <c r="E22" s="483"/>
      <c r="F22" s="483"/>
      <c r="G22" s="483">
        <f>D22+E22-F22</f>
        <v>8763.0400000000009</v>
      </c>
      <c r="H22" s="483">
        <f>G22</f>
        <v>8763.0400000000009</v>
      </c>
      <c r="I22" s="484"/>
      <c r="J22" s="484"/>
      <c r="K22" s="483">
        <f>H22+I22-J22</f>
        <v>8763.0400000000009</v>
      </c>
      <c r="L22" s="483">
        <f>K22</f>
        <v>8763.0400000000009</v>
      </c>
      <c r="M22" s="484"/>
      <c r="N22" s="484"/>
      <c r="O22" s="483">
        <f t="shared" si="4"/>
        <v>8763.0400000000009</v>
      </c>
      <c r="P22" s="483">
        <f t="shared" si="5"/>
        <v>8763.0400000000009</v>
      </c>
      <c r="Q22" s="632">
        <f ca="1">SUM(Q13:Q21)</f>
        <v>0</v>
      </c>
      <c r="R22" s="483"/>
      <c r="S22" s="483">
        <f t="shared" ca="1" si="6"/>
        <v>8763.0400000000009</v>
      </c>
    </row>
    <row r="23" spans="1:19">
      <c r="A23" s="19"/>
      <c r="B23" s="200"/>
      <c r="C23" s="230"/>
      <c r="D23" s="649" t="s">
        <v>1251</v>
      </c>
      <c r="E23" s="230"/>
      <c r="F23" s="230"/>
      <c r="G23" s="230"/>
      <c r="H23" s="201"/>
      <c r="I23" s="226"/>
      <c r="J23" s="201"/>
      <c r="K23" s="226"/>
      <c r="L23" s="226"/>
      <c r="M23" s="201"/>
      <c r="N23" s="201"/>
      <c r="O23" s="201"/>
      <c r="P23" s="201"/>
      <c r="Q23" s="309"/>
      <c r="R23" s="201"/>
      <c r="S23" s="201"/>
    </row>
    <row r="24" spans="1:19">
      <c r="A24" s="19"/>
      <c r="B24" s="1029" t="s">
        <v>327</v>
      </c>
      <c r="C24" s="1029"/>
      <c r="D24" s="1029"/>
      <c r="E24" s="1029"/>
      <c r="F24" s="1029"/>
      <c r="G24" s="1029"/>
      <c r="H24" s="201"/>
      <c r="I24" s="226"/>
      <c r="J24" s="201"/>
      <c r="K24" s="226"/>
      <c r="L24" s="226"/>
      <c r="M24" s="201"/>
      <c r="N24" s="201"/>
      <c r="O24" s="201" t="s">
        <v>1557</v>
      </c>
      <c r="P24" s="201"/>
      <c r="Q24" s="201"/>
      <c r="R24" s="201"/>
      <c r="S24" s="201"/>
    </row>
    <row r="25" spans="1:19">
      <c r="A25" s="19"/>
      <c r="B25" s="200"/>
      <c r="C25" s="230"/>
      <c r="D25" s="230"/>
      <c r="E25" s="230"/>
      <c r="F25" s="230"/>
      <c r="G25" s="230"/>
      <c r="H25" s="201"/>
      <c r="I25" s="226"/>
      <c r="J25" s="201"/>
      <c r="K25" s="226"/>
      <c r="L25" s="226"/>
      <c r="M25" s="201"/>
      <c r="N25" s="201"/>
      <c r="O25" s="201"/>
      <c r="P25" s="201"/>
      <c r="Q25" s="201"/>
      <c r="R25" s="201"/>
      <c r="S25" s="201"/>
    </row>
    <row r="26" spans="1:19" ht="15.75" customHeight="1">
      <c r="A26" s="19"/>
      <c r="B26" s="200"/>
      <c r="C26" s="230"/>
      <c r="D26" s="230"/>
      <c r="E26" s="230"/>
      <c r="F26" s="230"/>
      <c r="G26" s="230"/>
      <c r="H26" s="201"/>
      <c r="I26" s="226"/>
      <c r="J26" s="201"/>
      <c r="K26" s="226"/>
      <c r="L26" s="226"/>
      <c r="M26" s="201"/>
      <c r="N26" s="201"/>
      <c r="O26" s="201"/>
      <c r="P26" s="201"/>
      <c r="Q26" s="201"/>
      <c r="R26" s="201"/>
      <c r="S26" s="231" t="s">
        <v>56</v>
      </c>
    </row>
    <row r="27" spans="1:19" ht="15.75" customHeight="1">
      <c r="A27" s="19"/>
      <c r="B27" s="1030" t="s">
        <v>2</v>
      </c>
      <c r="C27" s="1030" t="s">
        <v>57</v>
      </c>
      <c r="D27" s="1030" t="s">
        <v>71</v>
      </c>
      <c r="E27" s="1030"/>
      <c r="F27" s="1030"/>
      <c r="G27" s="1030"/>
      <c r="H27" s="1030" t="s">
        <v>72</v>
      </c>
      <c r="I27" s="1030"/>
      <c r="J27" s="1030"/>
      <c r="K27" s="1030"/>
      <c r="L27" s="1030" t="s">
        <v>73</v>
      </c>
      <c r="M27" s="1030"/>
      <c r="N27" s="1030"/>
      <c r="O27" s="1030"/>
      <c r="P27" s="1030" t="s">
        <v>74</v>
      </c>
      <c r="Q27" s="1030"/>
      <c r="R27" s="1030"/>
      <c r="S27" s="1030"/>
    </row>
    <row r="28" spans="1:19">
      <c r="A28" s="19"/>
      <c r="B28" s="1030"/>
      <c r="C28" s="1030"/>
      <c r="D28" s="1031" t="s">
        <v>86</v>
      </c>
      <c r="E28" s="1032"/>
      <c r="F28" s="1032"/>
      <c r="G28" s="1032"/>
      <c r="H28" s="1031" t="s">
        <v>86</v>
      </c>
      <c r="I28" s="1032"/>
      <c r="J28" s="1032"/>
      <c r="K28" s="1032"/>
      <c r="L28" s="1031" t="s">
        <v>86</v>
      </c>
      <c r="M28" s="1032"/>
      <c r="N28" s="1032"/>
      <c r="O28" s="1032"/>
      <c r="P28" s="1031" t="s">
        <v>86</v>
      </c>
      <c r="Q28" s="1032"/>
      <c r="R28" s="1032"/>
      <c r="S28" s="1032"/>
    </row>
    <row r="29" spans="1:19" s="9" customFormat="1" ht="47.85" customHeight="1">
      <c r="A29" s="19"/>
      <c r="B29" s="1030"/>
      <c r="C29" s="1030"/>
      <c r="D29" s="213" t="s">
        <v>314</v>
      </c>
      <c r="E29" s="213" t="s">
        <v>315</v>
      </c>
      <c r="F29" s="213" t="s">
        <v>316</v>
      </c>
      <c r="G29" s="213" t="s">
        <v>317</v>
      </c>
      <c r="H29" s="213" t="s">
        <v>314</v>
      </c>
      <c r="I29" s="213" t="s">
        <v>315</v>
      </c>
      <c r="J29" s="213" t="s">
        <v>316</v>
      </c>
      <c r="K29" s="213" t="s">
        <v>317</v>
      </c>
      <c r="L29" s="213" t="s">
        <v>314</v>
      </c>
      <c r="M29" s="213" t="s">
        <v>315</v>
      </c>
      <c r="N29" s="213" t="s">
        <v>316</v>
      </c>
      <c r="O29" s="213" t="s">
        <v>317</v>
      </c>
      <c r="P29" s="213" t="s">
        <v>314</v>
      </c>
      <c r="Q29" s="213" t="s">
        <v>315</v>
      </c>
      <c r="R29" s="213" t="s">
        <v>316</v>
      </c>
      <c r="S29" s="213" t="s">
        <v>317</v>
      </c>
    </row>
    <row r="30" spans="1:19" s="8" customFormat="1">
      <c r="A30" s="41"/>
      <c r="B30" s="198"/>
      <c r="C30" s="198"/>
      <c r="D30" s="198" t="s">
        <v>328</v>
      </c>
      <c r="E30" s="198" t="s">
        <v>329</v>
      </c>
      <c r="F30" s="198" t="s">
        <v>330</v>
      </c>
      <c r="G30" s="198" t="s">
        <v>331</v>
      </c>
      <c r="H30" s="198" t="s">
        <v>332</v>
      </c>
      <c r="I30" s="198" t="s">
        <v>333</v>
      </c>
      <c r="J30" s="198" t="s">
        <v>334</v>
      </c>
      <c r="K30" s="198" t="s">
        <v>335</v>
      </c>
      <c r="L30" s="198" t="s">
        <v>336</v>
      </c>
      <c r="M30" s="198" t="s">
        <v>337</v>
      </c>
      <c r="N30" s="198" t="s">
        <v>338</v>
      </c>
      <c r="O30" s="198" t="s">
        <v>339</v>
      </c>
      <c r="P30" s="198" t="s">
        <v>340</v>
      </c>
      <c r="Q30" s="198" t="s">
        <v>341</v>
      </c>
      <c r="R30" s="198" t="s">
        <v>342</v>
      </c>
      <c r="S30" s="198" t="s">
        <v>343</v>
      </c>
    </row>
    <row r="31" spans="1:19" s="8" customFormat="1">
      <c r="A31" s="36"/>
      <c r="B31" s="272"/>
      <c r="C31" s="301" t="s">
        <v>1253</v>
      </c>
      <c r="D31" s="476">
        <f>S13</f>
        <v>9.61</v>
      </c>
      <c r="E31" s="630">
        <f>'F4.1 (N) New'!J14</f>
        <v>0</v>
      </c>
      <c r="F31" s="476"/>
      <c r="G31" s="476">
        <f>D31+E31-F31</f>
        <v>9.61</v>
      </c>
      <c r="H31" s="477">
        <f>G31</f>
        <v>9.61</v>
      </c>
      <c r="I31" s="633">
        <f>'F4.1 (N) New'!O14</f>
        <v>0</v>
      </c>
      <c r="J31" s="477"/>
      <c r="K31" s="476">
        <f>H31+I31-J31</f>
        <v>9.61</v>
      </c>
      <c r="L31" s="477">
        <f>K31</f>
        <v>9.61</v>
      </c>
      <c r="M31" s="633">
        <f>'F4.1 (N) New'!T14</f>
        <v>0</v>
      </c>
      <c r="N31" s="477"/>
      <c r="O31" s="476">
        <f>L31+M31-N31</f>
        <v>9.61</v>
      </c>
      <c r="P31" s="477">
        <f>O31</f>
        <v>9.61</v>
      </c>
      <c r="Q31" s="633">
        <f>'F4.1 (N) New'!Y14</f>
        <v>0</v>
      </c>
      <c r="R31" s="477"/>
      <c r="S31" s="476">
        <f>P31+Q31-R31</f>
        <v>9.61</v>
      </c>
    </row>
    <row r="32" spans="1:19" s="8" customFormat="1">
      <c r="A32" s="36"/>
      <c r="B32" s="272"/>
      <c r="C32" s="301" t="s">
        <v>1254</v>
      </c>
      <c r="D32" s="476">
        <f t="shared" ref="D32:D40" si="7">S14</f>
        <v>2269.66</v>
      </c>
      <c r="E32" s="630">
        <f>'F4.1 (N) New'!J15</f>
        <v>3810</v>
      </c>
      <c r="F32" s="476"/>
      <c r="G32" s="476">
        <f t="shared" ref="G32:G40" si="8">D32+E32-F32</f>
        <v>6079.66</v>
      </c>
      <c r="H32" s="477">
        <f t="shared" ref="H32:H40" si="9">G32</f>
        <v>6079.66</v>
      </c>
      <c r="I32" s="633">
        <f>'F4.1 (N) New'!O15</f>
        <v>3010</v>
      </c>
      <c r="J32" s="477"/>
      <c r="K32" s="476">
        <f t="shared" ref="K32:K40" si="10">H32+I32-J32</f>
        <v>9089.66</v>
      </c>
      <c r="L32" s="477">
        <f t="shared" ref="L32:L40" si="11">K32</f>
        <v>9089.66</v>
      </c>
      <c r="M32" s="633">
        <f>'F4.1 (N) New'!T15</f>
        <v>1680</v>
      </c>
      <c r="N32" s="477"/>
      <c r="O32" s="476">
        <f t="shared" ref="O32:O40" si="12">L32+M32-N32</f>
        <v>10769.66</v>
      </c>
      <c r="P32" s="477">
        <f t="shared" ref="P32:P40" si="13">O32</f>
        <v>10769.66</v>
      </c>
      <c r="Q32" s="633">
        <f>'F4.1 (N) New'!Y15</f>
        <v>10</v>
      </c>
      <c r="R32" s="477"/>
      <c r="S32" s="476">
        <f t="shared" ref="S32:S40" si="14">P32+Q32-R32</f>
        <v>10779.66</v>
      </c>
    </row>
    <row r="33" spans="1:22">
      <c r="A33" s="36"/>
      <c r="B33" s="272"/>
      <c r="C33" s="301" t="s">
        <v>211</v>
      </c>
      <c r="D33" s="476">
        <f t="shared" si="7"/>
        <v>4.76</v>
      </c>
      <c r="E33" s="630">
        <f>'F4.1 (N) New'!J16</f>
        <v>0</v>
      </c>
      <c r="F33" s="478"/>
      <c r="G33" s="476">
        <f t="shared" si="8"/>
        <v>4.76</v>
      </c>
      <c r="H33" s="477">
        <f t="shared" si="9"/>
        <v>4.76</v>
      </c>
      <c r="I33" s="633">
        <f>'F4.1 (N) New'!O16</f>
        <v>0</v>
      </c>
      <c r="J33" s="477"/>
      <c r="K33" s="476">
        <f t="shared" si="10"/>
        <v>4.76</v>
      </c>
      <c r="L33" s="477">
        <f t="shared" si="11"/>
        <v>4.76</v>
      </c>
      <c r="M33" s="633">
        <f>'F4.1 (N) New'!T16</f>
        <v>0</v>
      </c>
      <c r="N33" s="477"/>
      <c r="O33" s="476">
        <f t="shared" si="12"/>
        <v>4.76</v>
      </c>
      <c r="P33" s="477">
        <f t="shared" si="13"/>
        <v>4.76</v>
      </c>
      <c r="Q33" s="633">
        <f>'F4.1 (N) New'!Y16</f>
        <v>0</v>
      </c>
      <c r="R33" s="477"/>
      <c r="S33" s="476">
        <f t="shared" si="14"/>
        <v>4.76</v>
      </c>
    </row>
    <row r="34" spans="1:22">
      <c r="A34" s="19"/>
      <c r="B34" s="272"/>
      <c r="C34" s="301" t="s">
        <v>1255</v>
      </c>
      <c r="D34" s="476">
        <f t="shared" si="7"/>
        <v>33.14</v>
      </c>
      <c r="E34" s="630">
        <f>'F4.1 (N) New'!J17</f>
        <v>0</v>
      </c>
      <c r="F34" s="476"/>
      <c r="G34" s="476">
        <f t="shared" si="8"/>
        <v>33.14</v>
      </c>
      <c r="H34" s="477">
        <f t="shared" si="9"/>
        <v>33.14</v>
      </c>
      <c r="I34" s="633">
        <f>'F4.1 (N) New'!O17</f>
        <v>0</v>
      </c>
      <c r="J34" s="477"/>
      <c r="K34" s="476">
        <f t="shared" si="10"/>
        <v>33.14</v>
      </c>
      <c r="L34" s="477">
        <f t="shared" si="11"/>
        <v>33.14</v>
      </c>
      <c r="M34" s="633">
        <f>'F4.1 (N) New'!T17</f>
        <v>0</v>
      </c>
      <c r="N34" s="477"/>
      <c r="O34" s="476">
        <f t="shared" si="12"/>
        <v>33.14</v>
      </c>
      <c r="P34" s="477">
        <f t="shared" si="13"/>
        <v>33.14</v>
      </c>
      <c r="Q34" s="633">
        <f>'F4.1 (N) New'!Y17</f>
        <v>0</v>
      </c>
      <c r="R34" s="477"/>
      <c r="S34" s="476">
        <f t="shared" si="14"/>
        <v>33.14</v>
      </c>
    </row>
    <row r="35" spans="1:22">
      <c r="A35" s="19"/>
      <c r="B35" s="272"/>
      <c r="C35" s="301" t="s">
        <v>582</v>
      </c>
      <c r="D35" s="476">
        <f t="shared" si="7"/>
        <v>5048.21</v>
      </c>
      <c r="E35" s="630">
        <f ca="1">'F4.1 (N) New'!J18</f>
        <v>3081.0553064718806</v>
      </c>
      <c r="F35" s="476"/>
      <c r="G35" s="476">
        <f t="shared" ca="1" si="8"/>
        <v>8129.2653064718806</v>
      </c>
      <c r="H35" s="477">
        <f t="shared" ca="1" si="9"/>
        <v>8129.2653064718806</v>
      </c>
      <c r="I35" s="633">
        <f>'F4.1 (N) New'!O18</f>
        <v>80</v>
      </c>
      <c r="J35" s="477"/>
      <c r="K35" s="476">
        <f t="shared" ca="1" si="10"/>
        <v>8209.2653064718797</v>
      </c>
      <c r="L35" s="477">
        <f t="shared" ca="1" si="11"/>
        <v>8209.2653064718797</v>
      </c>
      <c r="M35" s="633">
        <f>'F4.1 (N) New'!T18</f>
        <v>0</v>
      </c>
      <c r="N35" s="477"/>
      <c r="O35" s="476">
        <f t="shared" ca="1" si="12"/>
        <v>8209.2653064718797</v>
      </c>
      <c r="P35" s="477">
        <f t="shared" ca="1" si="13"/>
        <v>8209.2653064718797</v>
      </c>
      <c r="Q35" s="633">
        <f>'F4.1 (N) New'!Y18</f>
        <v>32</v>
      </c>
      <c r="R35" s="477"/>
      <c r="S35" s="476">
        <f t="shared" ca="1" si="14"/>
        <v>8241.2653064718797</v>
      </c>
    </row>
    <row r="36" spans="1:22">
      <c r="A36" s="19"/>
      <c r="B36" s="272"/>
      <c r="C36" s="301" t="s">
        <v>1256</v>
      </c>
      <c r="D36" s="476">
        <f t="shared" si="7"/>
        <v>13.73</v>
      </c>
      <c r="E36" s="630">
        <f>'F4.1 (N) New'!J19</f>
        <v>0</v>
      </c>
      <c r="F36" s="476"/>
      <c r="G36" s="476">
        <f t="shared" si="8"/>
        <v>13.73</v>
      </c>
      <c r="H36" s="477">
        <f t="shared" si="9"/>
        <v>13.73</v>
      </c>
      <c r="I36" s="633">
        <f>'F4.1 (N) New'!O19</f>
        <v>0</v>
      </c>
      <c r="J36" s="477"/>
      <c r="K36" s="476">
        <f t="shared" si="10"/>
        <v>13.73</v>
      </c>
      <c r="L36" s="477">
        <f t="shared" si="11"/>
        <v>13.73</v>
      </c>
      <c r="M36" s="633">
        <f>'F4.1 (N) New'!T19</f>
        <v>0</v>
      </c>
      <c r="N36" s="477"/>
      <c r="O36" s="476">
        <f t="shared" si="12"/>
        <v>13.73</v>
      </c>
      <c r="P36" s="477">
        <f t="shared" si="13"/>
        <v>13.73</v>
      </c>
      <c r="Q36" s="633">
        <f>'F4.1 (N) New'!Y19</f>
        <v>0</v>
      </c>
      <c r="R36" s="477"/>
      <c r="S36" s="476">
        <f t="shared" si="14"/>
        <v>13.73</v>
      </c>
    </row>
    <row r="37" spans="1:22">
      <c r="A37" s="19"/>
      <c r="B37" s="485"/>
      <c r="C37" s="301" t="s">
        <v>1257</v>
      </c>
      <c r="D37" s="476">
        <f t="shared" si="7"/>
        <v>239.41</v>
      </c>
      <c r="E37" s="630">
        <f>'F4.1 (N) New'!J20</f>
        <v>20</v>
      </c>
      <c r="F37" s="480"/>
      <c r="G37" s="476">
        <f t="shared" si="8"/>
        <v>259.40999999999997</v>
      </c>
      <c r="H37" s="477">
        <f t="shared" si="9"/>
        <v>259.40999999999997</v>
      </c>
      <c r="I37" s="633">
        <f>'F4.1 (N) New'!O20</f>
        <v>65</v>
      </c>
      <c r="J37" s="481"/>
      <c r="K37" s="476">
        <f t="shared" si="10"/>
        <v>324.40999999999997</v>
      </c>
      <c r="L37" s="477">
        <f t="shared" si="11"/>
        <v>324.40999999999997</v>
      </c>
      <c r="M37" s="633">
        <f>'F4.1 (N) New'!T20</f>
        <v>35</v>
      </c>
      <c r="N37" s="481"/>
      <c r="O37" s="476">
        <f t="shared" si="12"/>
        <v>359.40999999999997</v>
      </c>
      <c r="P37" s="477">
        <f t="shared" si="13"/>
        <v>359.40999999999997</v>
      </c>
      <c r="Q37" s="633">
        <f>'F4.1 (N) New'!Y20</f>
        <v>40</v>
      </c>
      <c r="R37" s="481"/>
      <c r="S37" s="476">
        <f t="shared" si="14"/>
        <v>399.40999999999997</v>
      </c>
    </row>
    <row r="38" spans="1:22">
      <c r="A38" s="19"/>
      <c r="B38" s="485"/>
      <c r="C38" s="301" t="s">
        <v>1258</v>
      </c>
      <c r="D38" s="476">
        <f t="shared" si="7"/>
        <v>431.49</v>
      </c>
      <c r="E38" s="630">
        <f>'F4.1 (N) New'!J21</f>
        <v>0</v>
      </c>
      <c r="F38" s="480"/>
      <c r="G38" s="476">
        <f t="shared" si="8"/>
        <v>431.49</v>
      </c>
      <c r="H38" s="477">
        <f t="shared" si="9"/>
        <v>431.49</v>
      </c>
      <c r="I38" s="633">
        <f>'F4.1 (N) New'!O21</f>
        <v>0</v>
      </c>
      <c r="J38" s="481"/>
      <c r="K38" s="476">
        <f t="shared" si="10"/>
        <v>431.49</v>
      </c>
      <c r="L38" s="477">
        <f t="shared" si="11"/>
        <v>431.49</v>
      </c>
      <c r="M38" s="633">
        <f>'F4.1 (N) New'!T21</f>
        <v>0</v>
      </c>
      <c r="N38" s="481"/>
      <c r="O38" s="476">
        <f t="shared" si="12"/>
        <v>431.49</v>
      </c>
      <c r="P38" s="477">
        <f t="shared" si="13"/>
        <v>431.49</v>
      </c>
      <c r="Q38" s="633">
        <f>'F4.1 (N) New'!Y21</f>
        <v>0</v>
      </c>
      <c r="R38" s="481"/>
      <c r="S38" s="476">
        <f t="shared" si="14"/>
        <v>431.49</v>
      </c>
    </row>
    <row r="39" spans="1:22">
      <c r="A39" s="19"/>
      <c r="B39" s="485"/>
      <c r="C39" s="301" t="s">
        <v>1259</v>
      </c>
      <c r="D39" s="476">
        <f t="shared" ca="1" si="7"/>
        <v>713.04</v>
      </c>
      <c r="E39" s="630">
        <f>'F4.1 (N) New'!J22</f>
        <v>5512</v>
      </c>
      <c r="F39" s="480"/>
      <c r="G39" s="476">
        <f t="shared" ca="1" si="8"/>
        <v>6225.04</v>
      </c>
      <c r="H39" s="477">
        <f t="shared" ca="1" si="9"/>
        <v>6225.04</v>
      </c>
      <c r="I39" s="633">
        <f>'F4.1 (N) New'!O22</f>
        <v>4905</v>
      </c>
      <c r="J39" s="481"/>
      <c r="K39" s="476">
        <f t="shared" ca="1" si="10"/>
        <v>11130.04</v>
      </c>
      <c r="L39" s="477">
        <f t="shared" ca="1" si="11"/>
        <v>11130.04</v>
      </c>
      <c r="M39" s="633">
        <f>'F4.1 (N) New'!T22</f>
        <v>3600</v>
      </c>
      <c r="N39" s="481"/>
      <c r="O39" s="476">
        <f t="shared" ca="1" si="12"/>
        <v>14730.04</v>
      </c>
      <c r="P39" s="477">
        <f t="shared" ca="1" si="13"/>
        <v>14730.04</v>
      </c>
      <c r="Q39" s="633">
        <f>'F4.1 (N) New'!Y22</f>
        <v>3740</v>
      </c>
      <c r="R39" s="481"/>
      <c r="S39" s="476">
        <f t="shared" ca="1" si="14"/>
        <v>18470.04</v>
      </c>
    </row>
    <row r="40" spans="1:22" ht="18">
      <c r="A40" s="19"/>
      <c r="B40" s="276"/>
      <c r="C40" s="239" t="s">
        <v>235</v>
      </c>
      <c r="D40" s="476">
        <f t="shared" ca="1" si="7"/>
        <v>8763.0400000000009</v>
      </c>
      <c r="E40" s="632">
        <f ca="1">SUM(E31:E39)</f>
        <v>12423.055306471881</v>
      </c>
      <c r="F40" s="483"/>
      <c r="G40" s="476">
        <f t="shared" ca="1" si="8"/>
        <v>21186.095306471881</v>
      </c>
      <c r="H40" s="477">
        <f t="shared" ca="1" si="9"/>
        <v>21186.095306471881</v>
      </c>
      <c r="I40" s="632">
        <f>SUM(I31:I39)</f>
        <v>8060</v>
      </c>
      <c r="J40" s="484"/>
      <c r="K40" s="476">
        <f t="shared" ca="1" si="10"/>
        <v>29246.095306471881</v>
      </c>
      <c r="L40" s="477">
        <f t="shared" ca="1" si="11"/>
        <v>29246.095306471881</v>
      </c>
      <c r="M40" s="632">
        <f>SUM(M31:M39)</f>
        <v>5315</v>
      </c>
      <c r="N40" s="484"/>
      <c r="O40" s="476">
        <f t="shared" ca="1" si="12"/>
        <v>34561.095306471878</v>
      </c>
      <c r="P40" s="477">
        <f t="shared" ca="1" si="13"/>
        <v>34561.095306471878</v>
      </c>
      <c r="Q40" s="632">
        <f>SUM(Q31:Q39)</f>
        <v>3822</v>
      </c>
      <c r="R40" s="484"/>
      <c r="S40" s="476">
        <f t="shared" ca="1" si="14"/>
        <v>38383.095306471878</v>
      </c>
      <c r="T40" s="12"/>
      <c r="U40" s="12"/>
      <c r="V40" s="12"/>
    </row>
    <row r="41" spans="1:22" ht="18">
      <c r="A41" s="19"/>
      <c r="B41" s="241"/>
      <c r="C41" s="241"/>
      <c r="D41" s="241"/>
      <c r="E41" s="241"/>
      <c r="F41" s="241"/>
      <c r="G41" s="241"/>
      <c r="H41" s="241"/>
      <c r="I41" s="241"/>
      <c r="J41" s="241"/>
      <c r="K41" s="241"/>
      <c r="L41" s="241"/>
      <c r="M41" s="241"/>
      <c r="N41" s="201"/>
      <c r="O41" s="201"/>
      <c r="P41" s="201"/>
      <c r="Q41" s="201"/>
      <c r="R41" s="201"/>
      <c r="S41" s="201"/>
      <c r="T41" s="12"/>
      <c r="U41" s="12"/>
      <c r="V41" s="12"/>
    </row>
    <row r="42" spans="1:22" ht="18">
      <c r="A42" s="19"/>
      <c r="B42" s="241"/>
      <c r="C42" s="241"/>
      <c r="D42" s="241"/>
      <c r="E42" s="241"/>
      <c r="F42" s="241"/>
      <c r="G42" s="241"/>
      <c r="H42" s="241"/>
      <c r="I42" s="241"/>
      <c r="J42" s="241"/>
      <c r="K42" s="241"/>
      <c r="L42" s="241"/>
      <c r="M42" s="241"/>
      <c r="N42" s="201"/>
      <c r="O42" s="201"/>
      <c r="P42" s="201"/>
      <c r="Q42" s="201"/>
      <c r="R42" s="201"/>
      <c r="S42" s="201"/>
      <c r="T42" s="12"/>
      <c r="U42" s="12"/>
      <c r="V42" s="12"/>
    </row>
    <row r="43" spans="1:22" ht="15.75" customHeight="1">
      <c r="A43" s="19"/>
      <c r="B43" s="201"/>
      <c r="C43" s="201"/>
      <c r="D43" s="201"/>
      <c r="E43" s="201"/>
      <c r="F43" s="201"/>
      <c r="G43" s="201"/>
      <c r="H43" s="201"/>
      <c r="I43" s="201"/>
      <c r="J43" s="201"/>
      <c r="K43" s="201"/>
      <c r="L43" s="201"/>
      <c r="M43" s="201"/>
      <c r="N43" s="201"/>
      <c r="O43" s="201"/>
      <c r="P43" s="201"/>
      <c r="Q43" s="201"/>
      <c r="R43" s="201"/>
      <c r="S43" s="201"/>
    </row>
    <row r="44" spans="1:22" ht="15.75" customHeight="1">
      <c r="A44" s="19"/>
      <c r="B44" s="200" t="s">
        <v>344</v>
      </c>
      <c r="C44" s="201"/>
      <c r="D44" s="201"/>
      <c r="E44" s="201"/>
      <c r="F44" s="201"/>
      <c r="G44" s="201"/>
      <c r="H44" s="201"/>
      <c r="I44" s="201"/>
      <c r="J44" s="201"/>
      <c r="K44" s="201"/>
      <c r="L44" s="201"/>
      <c r="M44" s="201"/>
      <c r="N44" s="201"/>
      <c r="O44" s="201"/>
      <c r="P44" s="201"/>
      <c r="Q44" s="201"/>
      <c r="R44" s="201"/>
      <c r="S44" s="201"/>
    </row>
    <row r="45" spans="1:22">
      <c r="A45" s="19"/>
      <c r="B45" s="200"/>
      <c r="C45" s="201"/>
      <c r="D45" s="201"/>
      <c r="E45" s="201"/>
      <c r="F45" s="201"/>
      <c r="G45" s="201"/>
      <c r="H45" s="201"/>
      <c r="I45" s="201"/>
      <c r="J45" s="201"/>
      <c r="K45" s="201"/>
      <c r="L45" s="201"/>
      <c r="M45" s="201"/>
      <c r="N45" s="201"/>
      <c r="O45" s="201"/>
      <c r="P45" s="201"/>
      <c r="Q45" s="201"/>
      <c r="R45" s="201"/>
      <c r="S45" s="201"/>
    </row>
    <row r="46" spans="1:22" s="9" customFormat="1">
      <c r="A46" s="19"/>
      <c r="B46" s="201"/>
      <c r="C46" s="201"/>
      <c r="D46" s="201"/>
      <c r="E46" s="201"/>
      <c r="F46" s="201"/>
      <c r="G46" s="201"/>
      <c r="H46" s="201"/>
      <c r="I46" s="226"/>
      <c r="J46" s="201"/>
      <c r="K46" s="226"/>
      <c r="L46" s="226"/>
      <c r="M46" s="201"/>
      <c r="N46" s="201"/>
      <c r="O46" s="231" t="s">
        <v>56</v>
      </c>
      <c r="P46" s="201"/>
      <c r="Q46" s="201"/>
      <c r="R46" s="201"/>
      <c r="S46" s="201"/>
    </row>
    <row r="47" spans="1:22" s="8" customFormat="1">
      <c r="A47" s="19"/>
      <c r="B47" s="1030" t="s">
        <v>2</v>
      </c>
      <c r="C47" s="1030" t="s">
        <v>57</v>
      </c>
      <c r="D47" s="1031" t="s">
        <v>58</v>
      </c>
      <c r="E47" s="1031"/>
      <c r="F47" s="1031"/>
      <c r="G47" s="1031"/>
      <c r="H47" s="1031" t="s">
        <v>59</v>
      </c>
      <c r="I47" s="1031"/>
      <c r="J47" s="1031"/>
      <c r="K47" s="1031"/>
      <c r="L47" s="1030" t="s">
        <v>60</v>
      </c>
      <c r="M47" s="1030"/>
      <c r="N47" s="1030"/>
      <c r="O47" s="1030"/>
      <c r="P47" s="1030" t="s">
        <v>70</v>
      </c>
      <c r="Q47" s="1030"/>
      <c r="R47" s="1030"/>
      <c r="S47" s="1030"/>
    </row>
    <row r="48" spans="1:22" s="8" customFormat="1" ht="14.1" customHeight="1">
      <c r="A48" s="19"/>
      <c r="B48" s="1030"/>
      <c r="C48" s="1030"/>
      <c r="D48" s="1031" t="s">
        <v>345</v>
      </c>
      <c r="E48" s="1032"/>
      <c r="F48" s="1032"/>
      <c r="G48" s="1032"/>
      <c r="H48" s="1031" t="s">
        <v>345</v>
      </c>
      <c r="I48" s="1032"/>
      <c r="J48" s="1032"/>
      <c r="K48" s="1032"/>
      <c r="L48" s="1031" t="s">
        <v>295</v>
      </c>
      <c r="M48" s="1032"/>
      <c r="N48" s="1032"/>
      <c r="O48" s="1032"/>
      <c r="P48" s="1031" t="s">
        <v>86</v>
      </c>
      <c r="Q48" s="1032"/>
      <c r="R48" s="1032"/>
      <c r="S48" s="1032"/>
    </row>
    <row r="49" spans="1:22" s="8" customFormat="1" ht="57">
      <c r="A49" s="19"/>
      <c r="B49" s="1030"/>
      <c r="C49" s="1030"/>
      <c r="D49" s="213" t="s">
        <v>346</v>
      </c>
      <c r="E49" s="213" t="s">
        <v>315</v>
      </c>
      <c r="F49" s="214" t="s">
        <v>347</v>
      </c>
      <c r="G49" s="213" t="s">
        <v>348</v>
      </c>
      <c r="H49" s="213" t="s">
        <v>346</v>
      </c>
      <c r="I49" s="213" t="s">
        <v>315</v>
      </c>
      <c r="J49" s="214" t="s">
        <v>347</v>
      </c>
      <c r="K49" s="213" t="s">
        <v>348</v>
      </c>
      <c r="L49" s="213" t="s">
        <v>346</v>
      </c>
      <c r="M49" s="213" t="s">
        <v>315</v>
      </c>
      <c r="N49" s="214" t="s">
        <v>347</v>
      </c>
      <c r="O49" s="213" t="s">
        <v>348</v>
      </c>
      <c r="P49" s="213" t="s">
        <v>346</v>
      </c>
      <c r="Q49" s="213" t="s">
        <v>315</v>
      </c>
      <c r="R49" s="214" t="s">
        <v>347</v>
      </c>
      <c r="S49" s="213" t="s">
        <v>348</v>
      </c>
    </row>
    <row r="50" spans="1:22">
      <c r="A50" s="19"/>
      <c r="B50" s="198"/>
      <c r="C50" s="198"/>
      <c r="D50" s="198" t="s">
        <v>75</v>
      </c>
      <c r="E50" s="198" t="s">
        <v>76</v>
      </c>
      <c r="F50" s="198" t="s">
        <v>116</v>
      </c>
      <c r="G50" s="198" t="s">
        <v>318</v>
      </c>
      <c r="H50" s="198" t="s">
        <v>78</v>
      </c>
      <c r="I50" s="198" t="s">
        <v>79</v>
      </c>
      <c r="J50" s="198" t="s">
        <v>319</v>
      </c>
      <c r="K50" s="198" t="s">
        <v>320</v>
      </c>
      <c r="L50" s="198" t="s">
        <v>81</v>
      </c>
      <c r="M50" s="198" t="s">
        <v>82</v>
      </c>
      <c r="N50" s="198" t="s">
        <v>321</v>
      </c>
      <c r="O50" s="198" t="s">
        <v>322</v>
      </c>
      <c r="P50" s="198" t="s">
        <v>323</v>
      </c>
      <c r="Q50" s="198" t="s">
        <v>324</v>
      </c>
      <c r="R50" s="198" t="s">
        <v>325</v>
      </c>
      <c r="S50" s="198" t="s">
        <v>326</v>
      </c>
    </row>
    <row r="51" spans="1:22">
      <c r="A51" s="19"/>
      <c r="B51" s="272"/>
      <c r="C51" s="301" t="s">
        <v>1253</v>
      </c>
      <c r="D51" s="273"/>
      <c r="E51" s="273"/>
      <c r="F51" s="273"/>
      <c r="G51" s="273"/>
      <c r="H51" s="204"/>
      <c r="I51" s="204"/>
      <c r="J51" s="204"/>
      <c r="K51" s="204"/>
      <c r="L51" s="204"/>
      <c r="M51" s="204"/>
      <c r="N51" s="204"/>
      <c r="O51" s="204"/>
      <c r="P51" s="204"/>
      <c r="Q51" s="204"/>
      <c r="R51" s="204"/>
      <c r="S51" s="204"/>
    </row>
    <row r="52" spans="1:22">
      <c r="A52" s="19"/>
      <c r="B52" s="272"/>
      <c r="C52" s="301" t="s">
        <v>1254</v>
      </c>
      <c r="D52" s="273"/>
      <c r="E52" s="273"/>
      <c r="F52" s="273"/>
      <c r="G52" s="273"/>
      <c r="H52" s="204"/>
      <c r="I52" s="204"/>
      <c r="J52" s="204"/>
      <c r="K52" s="204"/>
      <c r="L52" s="204"/>
      <c r="M52" s="204"/>
      <c r="N52" s="204"/>
      <c r="O52" s="204"/>
      <c r="P52" s="204"/>
      <c r="Q52" s="204"/>
      <c r="R52" s="204"/>
      <c r="S52" s="204"/>
    </row>
    <row r="53" spans="1:22">
      <c r="A53" s="19"/>
      <c r="B53" s="272"/>
      <c r="C53" s="301" t="s">
        <v>211</v>
      </c>
      <c r="D53" s="273"/>
      <c r="E53" s="273"/>
      <c r="F53" s="273"/>
      <c r="G53" s="273"/>
      <c r="H53" s="204"/>
      <c r="I53" s="204"/>
      <c r="J53" s="204"/>
      <c r="K53" s="204"/>
      <c r="L53" s="204"/>
      <c r="M53" s="204"/>
      <c r="N53" s="204"/>
      <c r="O53" s="204"/>
      <c r="P53" s="204"/>
      <c r="Q53" s="204"/>
      <c r="R53" s="204"/>
      <c r="S53" s="204"/>
    </row>
    <row r="54" spans="1:22">
      <c r="A54" s="19"/>
      <c r="B54" s="272"/>
      <c r="C54" s="301" t="s">
        <v>1255</v>
      </c>
      <c r="D54" s="273"/>
      <c r="E54" s="273"/>
      <c r="F54" s="273"/>
      <c r="G54" s="273"/>
      <c r="H54" s="204"/>
      <c r="I54" s="204"/>
      <c r="J54" s="204"/>
      <c r="K54" s="204"/>
      <c r="L54" s="204"/>
      <c r="M54" s="204"/>
      <c r="N54" s="204"/>
      <c r="O54" s="204"/>
      <c r="P54" s="204"/>
      <c r="Q54" s="204"/>
      <c r="R54" s="204"/>
      <c r="S54" s="204"/>
    </row>
    <row r="55" spans="1:22" ht="18">
      <c r="A55" s="19"/>
      <c r="B55" s="272"/>
      <c r="C55" s="301" t="s">
        <v>582</v>
      </c>
      <c r="D55" s="273"/>
      <c r="E55" s="273"/>
      <c r="F55" s="273"/>
      <c r="G55" s="273"/>
      <c r="H55" s="204"/>
      <c r="I55" s="204"/>
      <c r="J55" s="204"/>
      <c r="K55" s="204"/>
      <c r="L55" s="204"/>
      <c r="M55" s="204"/>
      <c r="N55" s="204"/>
      <c r="O55" s="204"/>
      <c r="P55" s="204"/>
      <c r="Q55" s="204"/>
      <c r="R55" s="204"/>
      <c r="S55" s="204"/>
      <c r="T55" s="12"/>
      <c r="U55" s="12"/>
      <c r="V55" s="12"/>
    </row>
    <row r="56" spans="1:22" ht="18">
      <c r="A56" s="19"/>
      <c r="B56" s="485"/>
      <c r="C56" s="301" t="s">
        <v>1256</v>
      </c>
      <c r="D56" s="486"/>
      <c r="E56" s="486"/>
      <c r="F56" s="486"/>
      <c r="G56" s="486"/>
      <c r="H56" s="475"/>
      <c r="I56" s="475"/>
      <c r="J56" s="475"/>
      <c r="K56" s="475"/>
      <c r="L56" s="475"/>
      <c r="M56" s="475"/>
      <c r="N56" s="475"/>
      <c r="O56" s="475"/>
      <c r="P56" s="475"/>
      <c r="Q56" s="475"/>
      <c r="R56" s="475"/>
      <c r="S56" s="475"/>
      <c r="T56" s="12"/>
      <c r="U56" s="12"/>
      <c r="V56" s="12"/>
    </row>
    <row r="57" spans="1:22" ht="18">
      <c r="A57" s="19"/>
      <c r="B57" s="485"/>
      <c r="C57" s="301" t="s">
        <v>1257</v>
      </c>
      <c r="D57" s="486"/>
      <c r="E57" s="486"/>
      <c r="F57" s="486"/>
      <c r="G57" s="486"/>
      <c r="H57" s="475"/>
      <c r="I57" s="475"/>
      <c r="J57" s="475"/>
      <c r="K57" s="475"/>
      <c r="L57" s="475"/>
      <c r="M57" s="475"/>
      <c r="N57" s="475"/>
      <c r="O57" s="475"/>
      <c r="P57" s="475"/>
      <c r="Q57" s="475"/>
      <c r="R57" s="475"/>
      <c r="S57" s="475"/>
      <c r="T57" s="12"/>
      <c r="U57" s="12"/>
      <c r="V57" s="12"/>
    </row>
    <row r="58" spans="1:22" ht="18">
      <c r="A58" s="19"/>
      <c r="B58" s="485"/>
      <c r="C58" s="301" t="s">
        <v>1258</v>
      </c>
      <c r="D58" s="486"/>
      <c r="E58" s="486"/>
      <c r="F58" s="486"/>
      <c r="G58" s="486"/>
      <c r="H58" s="475"/>
      <c r="I58" s="475"/>
      <c r="J58" s="475"/>
      <c r="K58" s="475"/>
      <c r="L58" s="475"/>
      <c r="M58" s="475"/>
      <c r="N58" s="475"/>
      <c r="O58" s="475"/>
      <c r="P58" s="475"/>
      <c r="Q58" s="475"/>
      <c r="R58" s="475"/>
      <c r="S58" s="475"/>
      <c r="T58" s="12"/>
      <c r="U58" s="12"/>
      <c r="V58" s="12"/>
    </row>
    <row r="59" spans="1:22" ht="18">
      <c r="A59" s="19"/>
      <c r="B59" s="485"/>
      <c r="C59" s="301" t="s">
        <v>1259</v>
      </c>
      <c r="D59" s="486"/>
      <c r="E59" s="486"/>
      <c r="F59" s="486"/>
      <c r="G59" s="486"/>
      <c r="H59" s="475"/>
      <c r="I59" s="475"/>
      <c r="J59" s="475"/>
      <c r="K59" s="475"/>
      <c r="L59" s="475"/>
      <c r="M59" s="475"/>
      <c r="N59" s="475"/>
      <c r="O59" s="475"/>
      <c r="P59" s="475"/>
      <c r="Q59" s="475"/>
      <c r="R59" s="475"/>
      <c r="S59" s="475"/>
      <c r="T59" s="12"/>
      <c r="U59" s="12"/>
      <c r="V59" s="12"/>
    </row>
    <row r="60" spans="1:22" ht="18">
      <c r="A60" s="19"/>
      <c r="B60" s="276"/>
      <c r="C60" s="239" t="s">
        <v>235</v>
      </c>
      <c r="D60" s="239"/>
      <c r="E60" s="239">
        <v>115.6</v>
      </c>
      <c r="F60" s="239"/>
      <c r="G60" s="239"/>
      <c r="H60" s="276"/>
      <c r="I60" s="239">
        <v>115.51</v>
      </c>
      <c r="J60" s="276"/>
      <c r="K60" s="276"/>
      <c r="L60" s="276"/>
      <c r="M60" s="655">
        <v>114.13</v>
      </c>
      <c r="N60" s="276"/>
      <c r="O60" s="276"/>
      <c r="P60" s="204"/>
      <c r="Q60" s="650">
        <f ca="1">'F4.1 (E) Existing'!T54+'F4.1 (N) New'!E42</f>
        <v>114.13</v>
      </c>
      <c r="R60" s="275"/>
      <c r="S60" s="204"/>
      <c r="T60" s="12"/>
      <c r="U60" s="12"/>
      <c r="V60" s="12"/>
    </row>
    <row r="61" spans="1:22" ht="18">
      <c r="A61" s="19"/>
      <c r="B61" s="241"/>
      <c r="C61" s="278"/>
      <c r="D61" s="278"/>
      <c r="E61" s="654" t="s">
        <v>1252</v>
      </c>
      <c r="F61" s="278"/>
      <c r="G61" s="278"/>
      <c r="H61" s="241"/>
      <c r="I61" s="241" t="s">
        <v>1260</v>
      </c>
      <c r="J61" s="241"/>
      <c r="K61" s="241"/>
      <c r="L61" s="241"/>
      <c r="M61" s="241" t="s">
        <v>1558</v>
      </c>
      <c r="N61" s="241"/>
      <c r="O61" s="241"/>
      <c r="P61" s="201"/>
      <c r="Q61" s="279"/>
      <c r="R61" s="279"/>
      <c r="S61" s="201"/>
      <c r="T61" s="12"/>
      <c r="U61" s="12"/>
      <c r="V61" s="12"/>
    </row>
    <row r="62" spans="1:22" ht="18">
      <c r="A62" s="19"/>
      <c r="B62" s="277" t="s">
        <v>349</v>
      </c>
      <c r="C62" s="280"/>
      <c r="D62" s="280"/>
      <c r="E62" s="280"/>
      <c r="F62" s="280"/>
      <c r="G62" s="280"/>
      <c r="H62" s="281"/>
      <c r="I62" s="281"/>
      <c r="J62" s="241"/>
      <c r="K62" s="241"/>
      <c r="L62" s="241"/>
      <c r="M62" s="241" t="s">
        <v>1559</v>
      </c>
      <c r="N62" s="241"/>
      <c r="O62" s="241"/>
      <c r="P62" s="201"/>
      <c r="Q62" s="279"/>
      <c r="R62" s="279"/>
      <c r="S62" s="201"/>
      <c r="T62" s="12"/>
      <c r="U62" s="12"/>
      <c r="V62" s="12"/>
    </row>
    <row r="63" spans="1:22" ht="18">
      <c r="A63" s="19"/>
      <c r="B63" s="1029" t="s">
        <v>350</v>
      </c>
      <c r="C63" s="1029"/>
      <c r="D63" s="1029"/>
      <c r="E63" s="1029"/>
      <c r="F63" s="1029"/>
      <c r="G63" s="1029"/>
      <c r="H63" s="281"/>
      <c r="I63" s="281"/>
      <c r="J63" s="241"/>
      <c r="K63" s="241"/>
      <c r="L63" s="241"/>
      <c r="M63" s="241"/>
      <c r="N63" s="241"/>
      <c r="O63" s="241"/>
      <c r="P63" s="201"/>
      <c r="Q63" s="279"/>
      <c r="R63" s="279"/>
      <c r="S63" s="201"/>
      <c r="T63" s="12"/>
      <c r="U63" s="12"/>
      <c r="V63" s="12"/>
    </row>
    <row r="64" spans="1:22" ht="18">
      <c r="A64" s="19"/>
      <c r="B64" s="241"/>
      <c r="C64" s="278"/>
      <c r="D64" s="278"/>
      <c r="E64" s="278"/>
      <c r="F64" s="278"/>
      <c r="G64" s="278"/>
      <c r="H64" s="241"/>
      <c r="I64" s="241"/>
      <c r="J64" s="241"/>
      <c r="K64" s="241"/>
      <c r="L64" s="241"/>
      <c r="M64" s="241"/>
      <c r="N64" s="241"/>
      <c r="O64" s="241"/>
      <c r="P64" s="241"/>
      <c r="Q64" s="241"/>
      <c r="R64" s="241"/>
      <c r="S64" s="241"/>
      <c r="T64" s="12"/>
      <c r="U64" s="12"/>
      <c r="V64" s="12"/>
    </row>
    <row r="65" spans="1:19" ht="18">
      <c r="A65" s="19"/>
      <c r="B65" s="241"/>
      <c r="C65" s="278"/>
      <c r="D65" s="278"/>
      <c r="E65" s="278"/>
      <c r="F65" s="278"/>
      <c r="G65" s="278"/>
      <c r="H65" s="241"/>
      <c r="I65" s="241"/>
      <c r="J65" s="241"/>
      <c r="K65" s="241"/>
      <c r="L65" s="241"/>
      <c r="M65" s="241"/>
      <c r="N65" s="241"/>
      <c r="O65" s="231" t="s">
        <v>56</v>
      </c>
      <c r="P65" s="241"/>
      <c r="Q65" s="241"/>
      <c r="R65" s="241"/>
      <c r="S65" s="241"/>
    </row>
    <row r="66" spans="1:19" ht="14.1" customHeight="1">
      <c r="A66" s="19"/>
      <c r="B66" s="1030" t="s">
        <v>2</v>
      </c>
      <c r="C66" s="1030" t="s">
        <v>57</v>
      </c>
      <c r="D66" s="1030" t="s">
        <v>71</v>
      </c>
      <c r="E66" s="1030"/>
      <c r="F66" s="1030"/>
      <c r="G66" s="1030"/>
      <c r="H66" s="1030" t="s">
        <v>72</v>
      </c>
      <c r="I66" s="1030"/>
      <c r="J66" s="1030"/>
      <c r="K66" s="1030"/>
      <c r="L66" s="1030" t="s">
        <v>73</v>
      </c>
      <c r="M66" s="1030"/>
      <c r="N66" s="1030"/>
      <c r="O66" s="1030"/>
      <c r="P66" s="1030" t="s">
        <v>74</v>
      </c>
      <c r="Q66" s="1030"/>
      <c r="R66" s="1030"/>
      <c r="S66" s="1030"/>
    </row>
    <row r="67" spans="1:19">
      <c r="A67" s="19"/>
      <c r="B67" s="1030"/>
      <c r="C67" s="1030"/>
      <c r="D67" s="1031" t="s">
        <v>86</v>
      </c>
      <c r="E67" s="1032"/>
      <c r="F67" s="1032"/>
      <c r="G67" s="1032"/>
      <c r="H67" s="1031" t="s">
        <v>86</v>
      </c>
      <c r="I67" s="1032"/>
      <c r="J67" s="1032"/>
      <c r="K67" s="1032"/>
      <c r="L67" s="1031" t="s">
        <v>86</v>
      </c>
      <c r="M67" s="1032"/>
      <c r="N67" s="1032"/>
      <c r="O67" s="1032"/>
      <c r="P67" s="1031" t="s">
        <v>86</v>
      </c>
      <c r="Q67" s="1032"/>
      <c r="R67" s="1032"/>
      <c r="S67" s="1032"/>
    </row>
    <row r="68" spans="1:19" ht="65.849999999999994" customHeight="1">
      <c r="A68" s="19"/>
      <c r="B68" s="1030"/>
      <c r="C68" s="1030"/>
      <c r="D68" s="213" t="s">
        <v>346</v>
      </c>
      <c r="E68" s="213" t="s">
        <v>315</v>
      </c>
      <c r="F68" s="214" t="s">
        <v>347</v>
      </c>
      <c r="G68" s="213" t="s">
        <v>348</v>
      </c>
      <c r="H68" s="213" t="s">
        <v>346</v>
      </c>
      <c r="I68" s="213" t="s">
        <v>315</v>
      </c>
      <c r="J68" s="214" t="s">
        <v>347</v>
      </c>
      <c r="K68" s="213" t="s">
        <v>348</v>
      </c>
      <c r="L68" s="213" t="s">
        <v>346</v>
      </c>
      <c r="M68" s="213" t="s">
        <v>315</v>
      </c>
      <c r="N68" s="214" t="s">
        <v>347</v>
      </c>
      <c r="O68" s="213" t="s">
        <v>348</v>
      </c>
      <c r="P68" s="213" t="s">
        <v>346</v>
      </c>
      <c r="Q68" s="213" t="s">
        <v>315</v>
      </c>
      <c r="R68" s="214" t="s">
        <v>347</v>
      </c>
      <c r="S68" s="213" t="s">
        <v>348</v>
      </c>
    </row>
    <row r="69" spans="1:19">
      <c r="A69" s="19"/>
      <c r="B69" s="198"/>
      <c r="C69" s="198"/>
      <c r="D69" s="198" t="s">
        <v>328</v>
      </c>
      <c r="E69" s="198" t="s">
        <v>329</v>
      </c>
      <c r="F69" s="198" t="s">
        <v>330</v>
      </c>
      <c r="G69" s="198" t="s">
        <v>331</v>
      </c>
      <c r="H69" s="198" t="s">
        <v>332</v>
      </c>
      <c r="I69" s="198" t="s">
        <v>333</v>
      </c>
      <c r="J69" s="198" t="s">
        <v>334</v>
      </c>
      <c r="K69" s="198" t="s">
        <v>335</v>
      </c>
      <c r="L69" s="198" t="s">
        <v>336</v>
      </c>
      <c r="M69" s="198" t="s">
        <v>337</v>
      </c>
      <c r="N69" s="198" t="s">
        <v>338</v>
      </c>
      <c r="O69" s="198" t="s">
        <v>339</v>
      </c>
      <c r="P69" s="198" t="s">
        <v>340</v>
      </c>
      <c r="Q69" s="198" t="s">
        <v>341</v>
      </c>
      <c r="R69" s="198" t="s">
        <v>342</v>
      </c>
      <c r="S69" s="198" t="s">
        <v>343</v>
      </c>
    </row>
    <row r="70" spans="1:19">
      <c r="A70" s="19"/>
      <c r="B70" s="272"/>
      <c r="C70" s="273"/>
      <c r="D70" s="273"/>
      <c r="E70" s="273"/>
      <c r="F70" s="273"/>
      <c r="G70" s="273"/>
      <c r="H70" s="204"/>
      <c r="I70" s="204"/>
      <c r="J70" s="204"/>
      <c r="K70" s="204"/>
      <c r="L70" s="204"/>
      <c r="M70" s="204"/>
      <c r="N70" s="204"/>
      <c r="O70" s="204"/>
      <c r="P70" s="204"/>
      <c r="Q70" s="204"/>
      <c r="R70" s="204"/>
      <c r="S70" s="204"/>
    </row>
    <row r="71" spans="1:19" ht="32.25" customHeight="1">
      <c r="A71" s="19"/>
      <c r="B71" s="272"/>
      <c r="C71" s="273"/>
      <c r="D71" s="273"/>
      <c r="E71" s="273"/>
      <c r="F71" s="273"/>
      <c r="G71" s="273"/>
      <c r="H71" s="204"/>
      <c r="I71" s="204"/>
      <c r="J71" s="204"/>
      <c r="K71" s="204"/>
      <c r="L71" s="204"/>
      <c r="M71" s="204"/>
      <c r="N71" s="204"/>
      <c r="O71" s="204"/>
      <c r="P71" s="204"/>
      <c r="Q71" s="204"/>
      <c r="R71" s="204"/>
      <c r="S71" s="204"/>
    </row>
    <row r="72" spans="1:19" ht="15" customHeight="1">
      <c r="A72" s="19"/>
      <c r="B72" s="272"/>
      <c r="C72" s="273"/>
      <c r="D72" s="273"/>
      <c r="E72" s="273"/>
      <c r="F72" s="273"/>
      <c r="G72" s="273"/>
      <c r="H72" s="204"/>
      <c r="I72" s="204"/>
      <c r="J72" s="204"/>
      <c r="K72" s="204"/>
      <c r="L72" s="204"/>
      <c r="M72" s="204"/>
      <c r="N72" s="204"/>
      <c r="O72" s="204"/>
      <c r="P72" s="204"/>
      <c r="Q72" s="204"/>
      <c r="R72" s="204"/>
      <c r="S72" s="204"/>
    </row>
    <row r="73" spans="1:19">
      <c r="A73" s="19"/>
      <c r="B73" s="272"/>
      <c r="C73" s="273"/>
      <c r="D73" s="273"/>
      <c r="E73" s="273"/>
      <c r="F73" s="273"/>
      <c r="G73" s="273"/>
      <c r="H73" s="204"/>
      <c r="I73" s="204"/>
      <c r="J73" s="204"/>
      <c r="K73" s="204"/>
      <c r="L73" s="204"/>
      <c r="M73" s="204"/>
      <c r="N73" s="204"/>
      <c r="O73" s="204"/>
      <c r="P73" s="204"/>
      <c r="Q73" s="204"/>
      <c r="R73" s="204"/>
      <c r="S73" s="204"/>
    </row>
    <row r="74" spans="1:19">
      <c r="A74" s="19"/>
      <c r="B74" s="272"/>
      <c r="C74" s="273"/>
      <c r="D74" s="273"/>
      <c r="E74" s="273"/>
      <c r="F74" s="273"/>
      <c r="G74" s="273"/>
      <c r="H74" s="204"/>
      <c r="I74" s="204"/>
      <c r="J74" s="204"/>
      <c r="K74" s="204"/>
      <c r="L74" s="204"/>
      <c r="M74" s="204"/>
      <c r="N74" s="204"/>
      <c r="O74" s="204"/>
      <c r="P74" s="204"/>
      <c r="Q74" s="204"/>
      <c r="R74" s="204"/>
      <c r="S74" s="204"/>
    </row>
    <row r="75" spans="1:19">
      <c r="A75" s="19"/>
      <c r="B75" s="204"/>
      <c r="C75" s="274"/>
      <c r="D75" s="274"/>
      <c r="E75" s="274"/>
      <c r="F75" s="274"/>
      <c r="G75" s="274"/>
      <c r="H75" s="204"/>
      <c r="I75" s="275"/>
      <c r="J75" s="275"/>
      <c r="K75" s="204"/>
      <c r="L75" s="204"/>
      <c r="M75" s="275"/>
      <c r="N75" s="275"/>
      <c r="O75" s="204"/>
      <c r="P75" s="204"/>
      <c r="Q75" s="275"/>
      <c r="R75" s="275"/>
      <c r="S75" s="204"/>
    </row>
    <row r="76" spans="1:19" ht="18">
      <c r="A76" s="19"/>
      <c r="B76" s="276"/>
      <c r="C76" s="239" t="s">
        <v>235</v>
      </c>
      <c r="D76" s="239"/>
      <c r="E76" s="931">
        <f ca="1">'F4.1 (E) Existing'!E70+'F4.1 (N) New'!J42</f>
        <v>656.80026696655671</v>
      </c>
      <c r="F76" s="239"/>
      <c r="G76" s="239"/>
      <c r="H76" s="276"/>
      <c r="I76" s="656">
        <f ca="1">'F4.1 (E) Existing'!J70+'F4.1 (N) New'!O42</f>
        <v>1621.3577839331133</v>
      </c>
      <c r="J76" s="276"/>
      <c r="K76" s="276"/>
      <c r="L76" s="276"/>
      <c r="M76" s="656">
        <f ca="1">'F4.1 (E) Existing'!O70+'F4.1 (N) New'!T42</f>
        <v>2342.4087839331132</v>
      </c>
      <c r="N76" s="276"/>
      <c r="O76" s="276"/>
      <c r="P76" s="276"/>
      <c r="Q76" s="656">
        <f ca="1">'F4.1 (E) Existing'!T70+'F4.1 (N) New'!Y42</f>
        <v>2924.1807339331131</v>
      </c>
      <c r="R76" s="276"/>
      <c r="S76" s="276"/>
    </row>
    <row r="77" spans="1:19" ht="18">
      <c r="A77" s="19"/>
      <c r="B77" s="241"/>
      <c r="C77" s="278"/>
      <c r="D77" s="278"/>
      <c r="E77" s="278"/>
      <c r="F77" s="278"/>
      <c r="G77" s="278"/>
      <c r="H77" s="241"/>
      <c r="I77" s="241"/>
      <c r="J77" s="241"/>
      <c r="K77" s="241"/>
      <c r="L77" s="241"/>
      <c r="M77" s="241"/>
      <c r="N77" s="241"/>
      <c r="O77" s="241"/>
      <c r="P77" s="241"/>
      <c r="Q77" s="241"/>
      <c r="R77" s="241"/>
      <c r="S77" s="241"/>
    </row>
    <row r="78" spans="1:19">
      <c r="A78" s="19"/>
      <c r="B78" s="201"/>
      <c r="C78" s="201"/>
      <c r="D78" s="201"/>
      <c r="E78" s="201"/>
      <c r="F78" s="201"/>
      <c r="G78" s="201"/>
      <c r="H78" s="201"/>
      <c r="I78" s="201"/>
      <c r="J78" s="201"/>
      <c r="K78" s="201"/>
      <c r="L78" s="201"/>
      <c r="M78" s="201"/>
      <c r="N78" s="201"/>
      <c r="O78" s="201"/>
      <c r="P78" s="201"/>
      <c r="Q78" s="201"/>
      <c r="R78" s="201"/>
      <c r="S78" s="201"/>
    </row>
    <row r="79" spans="1:19">
      <c r="A79" s="19"/>
      <c r="B79" s="200" t="s">
        <v>351</v>
      </c>
      <c r="C79" s="201"/>
      <c r="D79" s="201"/>
      <c r="E79" s="201"/>
      <c r="F79" s="201"/>
      <c r="G79" s="201"/>
      <c r="H79" s="201"/>
      <c r="I79" s="201"/>
      <c r="J79" s="201"/>
      <c r="K79" s="201"/>
      <c r="L79" s="201"/>
      <c r="M79" s="201"/>
      <c r="N79" s="201"/>
      <c r="O79" s="201"/>
      <c r="P79" s="201"/>
      <c r="Q79" s="201"/>
      <c r="R79" s="201"/>
      <c r="S79" s="201"/>
    </row>
    <row r="80" spans="1:19">
      <c r="A80" s="19"/>
      <c r="B80" s="200"/>
      <c r="C80" s="201"/>
      <c r="D80" s="201"/>
      <c r="E80" s="201"/>
      <c r="F80" s="201"/>
      <c r="G80" s="201"/>
      <c r="H80" s="201"/>
      <c r="I80" s="201"/>
      <c r="J80" s="201"/>
      <c r="K80" s="201"/>
      <c r="L80" s="201"/>
      <c r="M80" s="201"/>
      <c r="N80" s="201"/>
      <c r="O80" s="201"/>
      <c r="P80" s="201"/>
      <c r="Q80" s="201"/>
      <c r="R80" s="201"/>
      <c r="S80" s="201"/>
    </row>
    <row r="81" spans="1:34">
      <c r="A81" s="19"/>
      <c r="B81" s="201"/>
      <c r="C81" s="201"/>
      <c r="D81" s="201"/>
      <c r="E81" s="201"/>
      <c r="F81" s="201"/>
      <c r="G81" s="201"/>
      <c r="H81" s="201"/>
      <c r="I81" s="226"/>
      <c r="J81" s="201"/>
      <c r="K81" s="226"/>
      <c r="L81" s="226"/>
      <c r="M81" s="201"/>
      <c r="N81" s="201"/>
      <c r="P81" s="201"/>
      <c r="Q81" s="201"/>
      <c r="R81" s="201"/>
      <c r="S81" s="231" t="s">
        <v>56</v>
      </c>
    </row>
    <row r="82" spans="1:34">
      <c r="A82" s="19"/>
      <c r="B82" s="1030" t="s">
        <v>2</v>
      </c>
      <c r="C82" s="1030" t="s">
        <v>57</v>
      </c>
      <c r="D82" s="1031" t="s">
        <v>58</v>
      </c>
      <c r="E82" s="1031"/>
      <c r="F82" s="1031"/>
      <c r="G82" s="1031"/>
      <c r="H82" s="1031" t="s">
        <v>59</v>
      </c>
      <c r="I82" s="1031"/>
      <c r="J82" s="1031"/>
      <c r="K82" s="1031"/>
      <c r="L82" s="1030" t="s">
        <v>60</v>
      </c>
      <c r="M82" s="1030"/>
      <c r="N82" s="1030"/>
      <c r="O82" s="1030"/>
      <c r="P82" s="1030" t="s">
        <v>70</v>
      </c>
      <c r="Q82" s="1030"/>
      <c r="R82" s="1030"/>
      <c r="S82" s="1030"/>
    </row>
    <row r="83" spans="1:34">
      <c r="A83" s="19"/>
      <c r="B83" s="1030"/>
      <c r="C83" s="1030"/>
      <c r="D83" s="1031" t="s">
        <v>345</v>
      </c>
      <c r="E83" s="1032"/>
      <c r="F83" s="1032"/>
      <c r="G83" s="1032"/>
      <c r="H83" s="1031" t="s">
        <v>345</v>
      </c>
      <c r="I83" s="1032"/>
      <c r="J83" s="1032"/>
      <c r="K83" s="1032"/>
      <c r="L83" s="1031" t="s">
        <v>295</v>
      </c>
      <c r="M83" s="1032"/>
      <c r="N83" s="1032"/>
      <c r="O83" s="1032"/>
      <c r="P83" s="1031" t="s">
        <v>86</v>
      </c>
      <c r="Q83" s="1032"/>
      <c r="R83" s="1032"/>
      <c r="S83" s="1032"/>
    </row>
    <row r="84" spans="1:34" ht="14.1" customHeight="1">
      <c r="A84" s="19"/>
      <c r="B84" s="1030"/>
      <c r="C84" s="1030"/>
      <c r="D84" s="213" t="s">
        <v>314</v>
      </c>
      <c r="E84" s="213" t="s">
        <v>315</v>
      </c>
      <c r="F84" s="214" t="s">
        <v>347</v>
      </c>
      <c r="G84" s="213" t="s">
        <v>317</v>
      </c>
      <c r="H84" s="213" t="s">
        <v>314</v>
      </c>
      <c r="I84" s="213" t="s">
        <v>315</v>
      </c>
      <c r="J84" s="214" t="s">
        <v>347</v>
      </c>
      <c r="K84" s="213" t="s">
        <v>317</v>
      </c>
      <c r="L84" s="213" t="s">
        <v>314</v>
      </c>
      <c r="M84" s="213" t="s">
        <v>315</v>
      </c>
      <c r="N84" s="214" t="s">
        <v>347</v>
      </c>
      <c r="O84" s="213" t="s">
        <v>317</v>
      </c>
      <c r="P84" s="213" t="s">
        <v>314</v>
      </c>
      <c r="Q84" s="213" t="s">
        <v>315</v>
      </c>
      <c r="R84" s="214" t="s">
        <v>347</v>
      </c>
      <c r="S84" s="213" t="s">
        <v>317</v>
      </c>
    </row>
    <row r="85" spans="1:34" ht="18">
      <c r="A85" s="19"/>
      <c r="B85" s="198"/>
      <c r="C85" s="198"/>
      <c r="D85" s="198" t="s">
        <v>75</v>
      </c>
      <c r="E85" s="198" t="s">
        <v>76</v>
      </c>
      <c r="F85" s="198" t="s">
        <v>116</v>
      </c>
      <c r="G85" s="198" t="s">
        <v>318</v>
      </c>
      <c r="H85" s="198" t="s">
        <v>78</v>
      </c>
      <c r="I85" s="198" t="s">
        <v>79</v>
      </c>
      <c r="J85" s="198" t="s">
        <v>319</v>
      </c>
      <c r="K85" s="198" t="s">
        <v>320</v>
      </c>
      <c r="L85" s="198" t="s">
        <v>81</v>
      </c>
      <c r="M85" s="198" t="s">
        <v>82</v>
      </c>
      <c r="N85" s="198" t="s">
        <v>321</v>
      </c>
      <c r="O85" s="198" t="s">
        <v>322</v>
      </c>
      <c r="P85" s="198" t="s">
        <v>323</v>
      </c>
      <c r="Q85" s="198" t="s">
        <v>324</v>
      </c>
      <c r="R85" s="198" t="s">
        <v>325</v>
      </c>
      <c r="S85" s="198" t="s">
        <v>326</v>
      </c>
      <c r="T85" s="12"/>
      <c r="U85" s="12"/>
      <c r="V85" s="12"/>
      <c r="W85" s="12"/>
      <c r="X85" s="12"/>
      <c r="Y85" s="12"/>
      <c r="Z85" s="12"/>
      <c r="AA85" s="12"/>
      <c r="AB85" s="12"/>
      <c r="AC85" s="12"/>
      <c r="AD85" s="12"/>
      <c r="AE85" s="12"/>
      <c r="AF85" s="12"/>
      <c r="AG85" s="12"/>
      <c r="AH85" s="12"/>
    </row>
    <row r="86" spans="1:34" ht="18">
      <c r="A86" s="19"/>
      <c r="B86" s="272"/>
      <c r="C86" s="273"/>
      <c r="D86" s="273"/>
      <c r="E86" s="273"/>
      <c r="F86" s="273"/>
      <c r="G86" s="273"/>
      <c r="H86" s="204"/>
      <c r="I86" s="204"/>
      <c r="J86" s="204"/>
      <c r="K86" s="204"/>
      <c r="L86" s="204"/>
      <c r="M86" s="204"/>
      <c r="N86" s="204"/>
      <c r="O86" s="204"/>
      <c r="P86" s="204"/>
      <c r="Q86" s="204"/>
      <c r="R86" s="204"/>
      <c r="S86" s="204"/>
      <c r="T86" s="12"/>
      <c r="U86" s="12"/>
      <c r="V86" s="12"/>
      <c r="W86" s="12"/>
      <c r="X86" s="12"/>
      <c r="Y86" s="12"/>
      <c r="Z86" s="12"/>
      <c r="AA86" s="12"/>
      <c r="AB86" s="12"/>
      <c r="AC86" s="12"/>
      <c r="AD86" s="12"/>
      <c r="AE86" s="12"/>
      <c r="AF86" s="12"/>
      <c r="AG86" s="12"/>
      <c r="AH86" s="12"/>
    </row>
    <row r="87" spans="1:34" ht="15" customHeight="1">
      <c r="A87" s="19"/>
      <c r="B87" s="272"/>
      <c r="C87" s="273"/>
      <c r="D87" s="273"/>
      <c r="E87" s="273"/>
      <c r="F87" s="273"/>
      <c r="G87" s="273"/>
      <c r="H87" s="204"/>
      <c r="I87" s="204"/>
      <c r="J87" s="204"/>
      <c r="K87" s="204"/>
      <c r="L87" s="204"/>
      <c r="M87" s="204"/>
      <c r="N87" s="204"/>
      <c r="O87" s="204"/>
      <c r="P87" s="204"/>
      <c r="Q87" s="204"/>
      <c r="R87" s="204"/>
      <c r="S87" s="204"/>
    </row>
    <row r="88" spans="1:34">
      <c r="A88" s="19"/>
      <c r="B88" s="272"/>
      <c r="C88" s="273"/>
      <c r="D88" s="273"/>
      <c r="E88" s="273"/>
      <c r="F88" s="273"/>
      <c r="G88" s="273"/>
      <c r="H88" s="204"/>
      <c r="I88" s="204"/>
      <c r="J88" s="204"/>
      <c r="K88" s="204"/>
      <c r="L88" s="204"/>
      <c r="M88" s="204"/>
      <c r="N88" s="204"/>
      <c r="O88" s="204"/>
      <c r="P88" s="204"/>
      <c r="Q88" s="204"/>
      <c r="R88" s="204"/>
      <c r="S88" s="204"/>
    </row>
    <row r="89" spans="1:34">
      <c r="A89" s="19"/>
      <c r="B89" s="272"/>
      <c r="C89" s="273"/>
      <c r="D89" s="273"/>
      <c r="E89" s="273"/>
      <c r="F89" s="273"/>
      <c r="G89" s="273"/>
      <c r="H89" s="204"/>
      <c r="I89" s="204"/>
      <c r="J89" s="204"/>
      <c r="K89" s="204"/>
      <c r="L89" s="204"/>
      <c r="M89" s="204"/>
      <c r="N89" s="204"/>
      <c r="O89" s="204"/>
      <c r="P89" s="204"/>
      <c r="Q89" s="204"/>
      <c r="R89" s="204"/>
      <c r="S89" s="204"/>
    </row>
    <row r="90" spans="1:34">
      <c r="A90" s="19"/>
      <c r="B90" s="272"/>
      <c r="C90" s="273"/>
      <c r="D90" s="273"/>
      <c r="E90" s="273"/>
      <c r="F90" s="273"/>
      <c r="G90" s="273"/>
      <c r="H90" s="204"/>
      <c r="I90" s="204"/>
      <c r="J90" s="204"/>
      <c r="K90" s="204"/>
      <c r="L90" s="204"/>
      <c r="M90" s="204"/>
      <c r="N90" s="204"/>
      <c r="O90" s="204"/>
      <c r="P90" s="204"/>
      <c r="Q90" s="204"/>
      <c r="R90" s="204"/>
      <c r="S90" s="204"/>
    </row>
    <row r="91" spans="1:34">
      <c r="A91" s="19"/>
      <c r="B91" s="204"/>
      <c r="C91" s="274"/>
      <c r="D91" s="274"/>
      <c r="E91" s="274"/>
      <c r="F91" s="274"/>
      <c r="G91" s="274"/>
      <c r="H91" s="204"/>
      <c r="I91" s="275"/>
      <c r="J91" s="275"/>
      <c r="K91" s="204"/>
      <c r="L91" s="204"/>
      <c r="M91" s="275"/>
      <c r="N91" s="275"/>
      <c r="O91" s="204"/>
      <c r="P91" s="204"/>
      <c r="Q91" s="204"/>
      <c r="R91" s="204"/>
      <c r="S91" s="204"/>
    </row>
    <row r="92" spans="1:34" ht="18">
      <c r="A92" s="19"/>
      <c r="B92" s="276"/>
      <c r="C92" s="239" t="s">
        <v>235</v>
      </c>
      <c r="D92" s="239"/>
      <c r="E92" s="239"/>
      <c r="F92" s="239"/>
      <c r="G92" s="239"/>
      <c r="H92" s="276"/>
      <c r="I92" s="276"/>
      <c r="J92" s="276"/>
      <c r="K92" s="276"/>
      <c r="L92" s="276"/>
      <c r="M92" s="276"/>
      <c r="N92" s="276"/>
      <c r="O92" s="276"/>
      <c r="P92" s="204"/>
      <c r="Q92" s="275"/>
      <c r="R92" s="275"/>
      <c r="S92" s="204"/>
    </row>
    <row r="93" spans="1:34" ht="18">
      <c r="A93" s="19"/>
      <c r="B93" s="241"/>
      <c r="C93" s="278"/>
      <c r="D93" s="278"/>
      <c r="E93" s="278"/>
      <c r="F93" s="278"/>
      <c r="G93" s="278"/>
      <c r="H93" s="241"/>
      <c r="I93" s="241"/>
      <c r="J93" s="241"/>
      <c r="K93" s="241"/>
      <c r="L93" s="241"/>
      <c r="M93" s="241"/>
      <c r="N93" s="241"/>
      <c r="O93" s="241"/>
      <c r="P93" s="201"/>
      <c r="Q93" s="279"/>
      <c r="R93" s="279"/>
      <c r="S93" s="201"/>
    </row>
    <row r="94" spans="1:34" ht="18">
      <c r="A94" s="19"/>
      <c r="B94" s="1029" t="s">
        <v>327</v>
      </c>
      <c r="C94" s="1029"/>
      <c r="D94" s="1029"/>
      <c r="E94" s="1029"/>
      <c r="F94" s="1029"/>
      <c r="G94" s="1029"/>
      <c r="H94" s="241"/>
      <c r="I94" s="241"/>
      <c r="J94" s="241"/>
      <c r="K94" s="241"/>
      <c r="L94" s="241"/>
      <c r="M94" s="241"/>
      <c r="N94" s="241"/>
      <c r="O94" s="241"/>
      <c r="P94" s="201"/>
      <c r="Q94" s="279"/>
      <c r="R94" s="279"/>
      <c r="S94" s="201"/>
    </row>
    <row r="95" spans="1:34" ht="18">
      <c r="A95" s="19"/>
      <c r="B95" s="241"/>
      <c r="C95" s="278"/>
      <c r="D95" s="278"/>
      <c r="E95" s="278"/>
      <c r="F95" s="278"/>
      <c r="G95" s="278"/>
      <c r="H95" s="241"/>
      <c r="I95" s="241"/>
      <c r="J95" s="241"/>
      <c r="K95" s="241"/>
      <c r="L95" s="241"/>
      <c r="M95" s="241"/>
      <c r="N95" s="241"/>
      <c r="O95" s="241"/>
      <c r="P95" s="241"/>
      <c r="Q95" s="241"/>
      <c r="R95" s="241"/>
      <c r="S95" s="241"/>
    </row>
    <row r="96" spans="1:34" ht="18">
      <c r="A96" s="19"/>
      <c r="B96" s="241"/>
      <c r="C96" s="278"/>
      <c r="D96" s="278"/>
      <c r="E96" s="278"/>
      <c r="F96" s="278"/>
      <c r="G96" s="278"/>
      <c r="H96" s="241"/>
      <c r="I96" s="241"/>
      <c r="J96" s="241"/>
      <c r="K96" s="241"/>
      <c r="L96" s="241"/>
      <c r="M96" s="241"/>
      <c r="N96" s="241"/>
      <c r="O96" s="241"/>
      <c r="P96" s="241"/>
      <c r="Q96" s="241"/>
      <c r="R96" s="241"/>
      <c r="S96" s="231" t="s">
        <v>56</v>
      </c>
    </row>
    <row r="97" spans="1:19">
      <c r="A97" s="19"/>
      <c r="B97" s="1030" t="s">
        <v>2</v>
      </c>
      <c r="C97" s="1030" t="s">
        <v>57</v>
      </c>
      <c r="D97" s="1030" t="s">
        <v>71</v>
      </c>
      <c r="E97" s="1030"/>
      <c r="F97" s="1030"/>
      <c r="G97" s="1030"/>
      <c r="H97" s="1030" t="s">
        <v>72</v>
      </c>
      <c r="I97" s="1030"/>
      <c r="J97" s="1030"/>
      <c r="K97" s="1030"/>
      <c r="L97" s="1030" t="s">
        <v>73</v>
      </c>
      <c r="M97" s="1030"/>
      <c r="N97" s="1030"/>
      <c r="O97" s="1030"/>
      <c r="P97" s="1030" t="s">
        <v>74</v>
      </c>
      <c r="Q97" s="1030"/>
      <c r="R97" s="1030"/>
      <c r="S97" s="1030"/>
    </row>
    <row r="98" spans="1:19">
      <c r="A98" s="19"/>
      <c r="B98" s="1030"/>
      <c r="C98" s="1030"/>
      <c r="D98" s="1031" t="s">
        <v>86</v>
      </c>
      <c r="E98" s="1032"/>
      <c r="F98" s="1032"/>
      <c r="G98" s="1032"/>
      <c r="H98" s="1031" t="s">
        <v>86</v>
      </c>
      <c r="I98" s="1032"/>
      <c r="J98" s="1032"/>
      <c r="K98" s="1032"/>
      <c r="L98" s="1031" t="s">
        <v>86</v>
      </c>
      <c r="M98" s="1032"/>
      <c r="N98" s="1032"/>
      <c r="O98" s="1032"/>
      <c r="P98" s="1031" t="s">
        <v>86</v>
      </c>
      <c r="Q98" s="1032"/>
      <c r="R98" s="1032"/>
      <c r="S98" s="1032"/>
    </row>
    <row r="99" spans="1:19" ht="42.75" customHeight="1">
      <c r="A99" s="19"/>
      <c r="B99" s="1030"/>
      <c r="C99" s="1030"/>
      <c r="D99" s="213" t="s">
        <v>314</v>
      </c>
      <c r="E99" s="213" t="s">
        <v>315</v>
      </c>
      <c r="F99" s="214" t="s">
        <v>347</v>
      </c>
      <c r="G99" s="213" t="s">
        <v>317</v>
      </c>
      <c r="H99" s="213" t="s">
        <v>314</v>
      </c>
      <c r="I99" s="213" t="s">
        <v>315</v>
      </c>
      <c r="J99" s="214" t="s">
        <v>347</v>
      </c>
      <c r="K99" s="213" t="s">
        <v>317</v>
      </c>
      <c r="L99" s="213" t="s">
        <v>314</v>
      </c>
      <c r="M99" s="213" t="s">
        <v>315</v>
      </c>
      <c r="N99" s="214" t="s">
        <v>347</v>
      </c>
      <c r="O99" s="213" t="s">
        <v>317</v>
      </c>
      <c r="P99" s="213" t="s">
        <v>314</v>
      </c>
      <c r="Q99" s="213" t="s">
        <v>315</v>
      </c>
      <c r="R99" s="214" t="s">
        <v>347</v>
      </c>
      <c r="S99" s="213" t="s">
        <v>317</v>
      </c>
    </row>
    <row r="100" spans="1:19">
      <c r="A100" s="19"/>
      <c r="B100" s="198"/>
      <c r="C100" s="198"/>
      <c r="D100" s="198" t="s">
        <v>328</v>
      </c>
      <c r="E100" s="198" t="s">
        <v>329</v>
      </c>
      <c r="F100" s="198" t="s">
        <v>330</v>
      </c>
      <c r="G100" s="198" t="s">
        <v>331</v>
      </c>
      <c r="H100" s="198" t="s">
        <v>332</v>
      </c>
      <c r="I100" s="198" t="s">
        <v>333</v>
      </c>
      <c r="J100" s="198" t="s">
        <v>334</v>
      </c>
      <c r="K100" s="198" t="s">
        <v>335</v>
      </c>
      <c r="L100" s="198" t="s">
        <v>336</v>
      </c>
      <c r="M100" s="198" t="s">
        <v>337</v>
      </c>
      <c r="N100" s="198" t="s">
        <v>338</v>
      </c>
      <c r="O100" s="198" t="s">
        <v>339</v>
      </c>
      <c r="P100" s="198" t="s">
        <v>340</v>
      </c>
      <c r="Q100" s="198" t="s">
        <v>341</v>
      </c>
      <c r="R100" s="198" t="s">
        <v>342</v>
      </c>
      <c r="S100" s="198" t="s">
        <v>343</v>
      </c>
    </row>
    <row r="101" spans="1:19">
      <c r="A101" s="19"/>
      <c r="B101" s="272"/>
      <c r="C101" s="273"/>
      <c r="D101" s="273"/>
      <c r="E101" s="273"/>
      <c r="F101" s="273"/>
      <c r="G101" s="273"/>
      <c r="H101" s="204"/>
      <c r="I101" s="204"/>
      <c r="J101" s="204"/>
      <c r="K101" s="204"/>
      <c r="L101" s="204"/>
      <c r="M101" s="204"/>
      <c r="N101" s="204"/>
      <c r="O101" s="204"/>
      <c r="P101" s="204"/>
      <c r="Q101" s="204"/>
      <c r="R101" s="204"/>
      <c r="S101" s="204"/>
    </row>
    <row r="102" spans="1:19">
      <c r="A102" s="19"/>
      <c r="B102" s="272"/>
      <c r="C102" s="273"/>
      <c r="D102" s="273"/>
      <c r="E102" s="273"/>
      <c r="F102" s="273"/>
      <c r="G102" s="273"/>
      <c r="H102" s="204"/>
      <c r="I102" s="204"/>
      <c r="J102" s="204"/>
      <c r="K102" s="204"/>
      <c r="L102" s="204"/>
      <c r="M102" s="204"/>
      <c r="N102" s="204"/>
      <c r="O102" s="204"/>
      <c r="P102" s="204"/>
      <c r="Q102" s="204"/>
      <c r="R102" s="204"/>
      <c r="S102" s="204"/>
    </row>
    <row r="103" spans="1:19">
      <c r="A103" s="19"/>
      <c r="B103" s="272"/>
      <c r="C103" s="273"/>
      <c r="D103" s="273"/>
      <c r="E103" s="273"/>
      <c r="F103" s="273"/>
      <c r="G103" s="273"/>
      <c r="H103" s="204"/>
      <c r="I103" s="204"/>
      <c r="J103" s="204"/>
      <c r="K103" s="204"/>
      <c r="L103" s="204"/>
      <c r="M103" s="204"/>
      <c r="N103" s="204"/>
      <c r="O103" s="204"/>
      <c r="P103" s="204"/>
      <c r="Q103" s="204"/>
      <c r="R103" s="204"/>
      <c r="S103" s="204"/>
    </row>
    <row r="104" spans="1:19">
      <c r="A104" s="19"/>
      <c r="B104" s="272"/>
      <c r="C104" s="273"/>
      <c r="D104" s="273"/>
      <c r="E104" s="273"/>
      <c r="F104" s="273"/>
      <c r="G104" s="273"/>
      <c r="H104" s="204"/>
      <c r="I104" s="204"/>
      <c r="J104" s="204"/>
      <c r="K104" s="204"/>
      <c r="L104" s="204"/>
      <c r="M104" s="204"/>
      <c r="N104" s="204"/>
      <c r="O104" s="204"/>
      <c r="P104" s="204"/>
      <c r="Q104" s="204"/>
      <c r="R104" s="204"/>
      <c r="S104" s="204"/>
    </row>
    <row r="105" spans="1:19">
      <c r="A105" s="19"/>
      <c r="B105" s="272"/>
      <c r="C105" s="273"/>
      <c r="D105" s="273"/>
      <c r="E105" s="273"/>
      <c r="F105" s="273"/>
      <c r="G105" s="273"/>
      <c r="H105" s="204"/>
      <c r="I105" s="204"/>
      <c r="J105" s="204"/>
      <c r="K105" s="204"/>
      <c r="L105" s="204"/>
      <c r="M105" s="204"/>
      <c r="N105" s="204"/>
      <c r="O105" s="204"/>
      <c r="P105" s="204"/>
      <c r="Q105" s="204"/>
      <c r="R105" s="204"/>
      <c r="S105" s="204"/>
    </row>
    <row r="106" spans="1:19">
      <c r="A106" s="19"/>
      <c r="B106" s="204"/>
      <c r="C106" s="274"/>
      <c r="D106" s="274"/>
      <c r="E106" s="274"/>
      <c r="F106" s="274"/>
      <c r="G106" s="274"/>
      <c r="H106" s="204"/>
      <c r="I106" s="275"/>
      <c r="J106" s="275"/>
      <c r="K106" s="204"/>
      <c r="L106" s="204"/>
      <c r="M106" s="275"/>
      <c r="N106" s="275"/>
      <c r="O106" s="204"/>
      <c r="P106" s="204"/>
      <c r="Q106" s="275"/>
      <c r="R106" s="275"/>
      <c r="S106" s="204"/>
    </row>
    <row r="107" spans="1:19" ht="18">
      <c r="A107" s="19"/>
      <c r="B107" s="276"/>
      <c r="C107" s="239"/>
      <c r="D107" s="239"/>
      <c r="E107" s="239"/>
      <c r="F107" s="239"/>
      <c r="G107" s="239"/>
      <c r="H107" s="276"/>
      <c r="I107" s="276"/>
      <c r="J107" s="276"/>
      <c r="K107" s="276"/>
      <c r="L107" s="276"/>
      <c r="M107" s="276"/>
      <c r="N107" s="276"/>
      <c r="O107" s="276"/>
      <c r="P107" s="276"/>
      <c r="Q107" s="276"/>
      <c r="R107" s="276"/>
      <c r="S107" s="276"/>
    </row>
    <row r="108" spans="1:19" ht="18">
      <c r="A108" s="19"/>
      <c r="B108" s="30"/>
      <c r="C108" s="47"/>
      <c r="D108" s="30"/>
      <c r="E108" s="30"/>
      <c r="F108" s="30"/>
      <c r="G108" s="30"/>
      <c r="H108" s="30"/>
      <c r="I108" s="30"/>
      <c r="J108" s="30"/>
      <c r="K108" s="30"/>
      <c r="L108" s="30"/>
      <c r="M108" s="30"/>
      <c r="N108" s="30"/>
      <c r="O108" s="30"/>
      <c r="P108" s="49"/>
      <c r="Q108" s="49"/>
      <c r="R108" s="49"/>
      <c r="S108" s="11"/>
    </row>
    <row r="109" spans="1:19" ht="18">
      <c r="A109" s="19"/>
      <c r="B109" s="49"/>
      <c r="C109" s="50" t="s">
        <v>235</v>
      </c>
      <c r="D109" s="30"/>
      <c r="E109" s="48"/>
      <c r="F109" s="48"/>
      <c r="G109" s="30"/>
      <c r="H109" s="30"/>
      <c r="I109" s="48"/>
      <c r="J109" s="48"/>
      <c r="K109" s="30"/>
      <c r="L109" s="30"/>
      <c r="M109" s="48"/>
      <c r="N109" s="48"/>
      <c r="O109" s="30"/>
      <c r="P109" s="49"/>
      <c r="Q109" s="49"/>
      <c r="R109" s="49"/>
      <c r="S109" s="11"/>
    </row>
    <row r="110" spans="1:19" ht="18">
      <c r="P110" s="43"/>
      <c r="Q110" s="43"/>
      <c r="R110" s="43"/>
    </row>
    <row r="111" spans="1:19" ht="18">
      <c r="P111" s="43"/>
      <c r="Q111" s="43"/>
      <c r="R111" s="43"/>
    </row>
    <row r="112" spans="1:19" ht="18">
      <c r="P112" s="43"/>
      <c r="Q112" s="43"/>
      <c r="R112" s="43"/>
    </row>
    <row r="113" spans="16:18" ht="18">
      <c r="P113" s="43"/>
      <c r="Q113" s="43"/>
      <c r="R113" s="43"/>
    </row>
  </sheetData>
  <mergeCells count="63">
    <mergeCell ref="D48:G48"/>
    <mergeCell ref="B47:B49"/>
    <mergeCell ref="C47:C49"/>
    <mergeCell ref="D47:G47"/>
    <mergeCell ref="H47:K47"/>
    <mergeCell ref="L48:O48"/>
    <mergeCell ref="H66:K66"/>
    <mergeCell ref="L66:O66"/>
    <mergeCell ref="H28:K28"/>
    <mergeCell ref="H9:K9"/>
    <mergeCell ref="L28:O28"/>
    <mergeCell ref="L9:O9"/>
    <mergeCell ref="H48:K48"/>
    <mergeCell ref="L47:O47"/>
    <mergeCell ref="B27:B29"/>
    <mergeCell ref="C27:C29"/>
    <mergeCell ref="D27:G27"/>
    <mergeCell ref="D28:G28"/>
    <mergeCell ref="D9:G9"/>
    <mergeCell ref="B24:G24"/>
    <mergeCell ref="B97:B99"/>
    <mergeCell ref="P9:S9"/>
    <mergeCell ref="H10:K10"/>
    <mergeCell ref="L10:O10"/>
    <mergeCell ref="P10:S10"/>
    <mergeCell ref="P27:S27"/>
    <mergeCell ref="H27:K27"/>
    <mergeCell ref="L27:O27"/>
    <mergeCell ref="P28:S28"/>
    <mergeCell ref="P48:S48"/>
    <mergeCell ref="P66:S66"/>
    <mergeCell ref="P67:S67"/>
    <mergeCell ref="P47:S47"/>
    <mergeCell ref="B9:B11"/>
    <mergeCell ref="C9:C11"/>
    <mergeCell ref="D10:G10"/>
    <mergeCell ref="C66:C68"/>
    <mergeCell ref="H67:K67"/>
    <mergeCell ref="L67:O67"/>
    <mergeCell ref="B82:B84"/>
    <mergeCell ref="C82:C84"/>
    <mergeCell ref="D82:G82"/>
    <mergeCell ref="H82:K82"/>
    <mergeCell ref="L82:O82"/>
    <mergeCell ref="D83:G83"/>
    <mergeCell ref="H83:K83"/>
    <mergeCell ref="L83:O83"/>
    <mergeCell ref="B63:G63"/>
    <mergeCell ref="B94:G94"/>
    <mergeCell ref="P82:S82"/>
    <mergeCell ref="P83:S83"/>
    <mergeCell ref="P97:S97"/>
    <mergeCell ref="C97:C99"/>
    <mergeCell ref="D97:G97"/>
    <mergeCell ref="H97:K97"/>
    <mergeCell ref="L97:O97"/>
    <mergeCell ref="D98:G98"/>
    <mergeCell ref="H98:K98"/>
    <mergeCell ref="L98:O98"/>
    <mergeCell ref="P98:S98"/>
    <mergeCell ref="B66:B68"/>
    <mergeCell ref="D66:G66"/>
    <mergeCell ref="D67:G67"/>
  </mergeCells>
  <pageMargins left="0.27559055118110237" right="0.23622047244094491" top="0.23622047244094491" bottom="0.23622047244094491" header="0.23622047244094491" footer="0.23622047244094491"/>
  <pageSetup paperSize="9" scale="34" fitToHeight="3" orientation="landscape" r:id="rId1"/>
  <headerFooter alignWithMargins="0">
    <oddHeader>&amp;F</oddHeader>
  </headerFooter>
  <rowBreaks count="2" manualBreakCount="2">
    <brk id="43" max="22" man="1"/>
    <brk id="77" max="18" man="1"/>
  </rowBreaks>
</worksheet>
</file>

<file path=xl/worksheets/sheet17.xml><?xml version="1.0" encoding="utf-8"?>
<worksheet xmlns="http://schemas.openxmlformats.org/spreadsheetml/2006/main" xmlns:r="http://schemas.openxmlformats.org/officeDocument/2006/relationships">
  <sheetPr>
    <pageSetUpPr fitToPage="1"/>
  </sheetPr>
  <dimension ref="A1:AL101"/>
  <sheetViews>
    <sheetView view="pageBreakPreview" topLeftCell="R62" zoomScale="60" zoomScaleNormal="49" workbookViewId="0">
      <selection activeCell="D106" sqref="D106"/>
    </sheetView>
  </sheetViews>
  <sheetFormatPr defaultColWidth="9.28515625" defaultRowHeight="15"/>
  <cols>
    <col min="1" max="1" width="4.28515625" style="201" customWidth="1"/>
    <col min="2" max="2" width="6.28515625" style="201" customWidth="1"/>
    <col min="3" max="3" width="36.28515625" style="201" customWidth="1"/>
    <col min="4" max="4" width="18.7109375" style="201" customWidth="1"/>
    <col min="5" max="5" width="20.7109375" style="201" customWidth="1"/>
    <col min="6" max="27" width="18.7109375" style="201" customWidth="1"/>
    <col min="28" max="16384" width="9.28515625" style="201"/>
  </cols>
  <sheetData>
    <row r="1" spans="1:23">
      <c r="B1" s="200"/>
    </row>
    <row r="2" spans="1:23">
      <c r="B2" s="230"/>
      <c r="D2" s="319"/>
      <c r="E2" s="319"/>
      <c r="F2" s="81" t="s">
        <v>0</v>
      </c>
      <c r="G2" s="318"/>
      <c r="H2" s="319"/>
      <c r="I2" s="319"/>
      <c r="J2" s="319"/>
      <c r="K2" s="319"/>
      <c r="L2" s="319"/>
      <c r="M2" s="319"/>
      <c r="N2" s="319"/>
      <c r="O2" s="319"/>
      <c r="P2" s="319"/>
      <c r="Q2" s="319"/>
      <c r="R2" s="319"/>
      <c r="S2" s="319"/>
      <c r="T2" s="319"/>
      <c r="U2" s="319"/>
      <c r="V2" s="319"/>
      <c r="W2" s="319"/>
    </row>
    <row r="3" spans="1:23">
      <c r="B3" s="230"/>
      <c r="D3" s="320"/>
      <c r="E3" s="320"/>
      <c r="F3" s="88" t="s">
        <v>1</v>
      </c>
      <c r="G3" s="318"/>
      <c r="H3" s="320"/>
      <c r="I3" s="320"/>
      <c r="J3" s="320"/>
      <c r="K3" s="320"/>
      <c r="L3" s="320"/>
      <c r="M3" s="320"/>
      <c r="N3" s="320"/>
      <c r="O3" s="320"/>
      <c r="P3" s="320"/>
      <c r="Q3" s="320"/>
      <c r="R3" s="320"/>
      <c r="S3" s="320"/>
      <c r="T3" s="319"/>
      <c r="U3" s="319"/>
      <c r="V3" s="319"/>
      <c r="W3" s="319"/>
    </row>
    <row r="4" spans="1:23">
      <c r="B4" s="319"/>
      <c r="D4" s="319"/>
      <c r="E4" s="230"/>
      <c r="F4" s="81" t="s">
        <v>352</v>
      </c>
      <c r="G4" s="227"/>
      <c r="H4" s="230"/>
      <c r="I4" s="230"/>
      <c r="J4" s="319"/>
      <c r="K4" s="319"/>
      <c r="L4" s="319"/>
      <c r="M4" s="319"/>
      <c r="N4" s="319"/>
      <c r="O4" s="319"/>
      <c r="P4" s="319"/>
      <c r="Q4" s="319"/>
      <c r="R4" s="319"/>
      <c r="S4" s="319"/>
      <c r="T4" s="319"/>
      <c r="U4" s="319"/>
      <c r="V4" s="319"/>
      <c r="W4" s="319"/>
    </row>
    <row r="5" spans="1:23">
      <c r="C5" s="200"/>
      <c r="E5" s="226"/>
      <c r="H5" s="226"/>
      <c r="I5" s="226"/>
    </row>
    <row r="6" spans="1:23">
      <c r="C6" s="200"/>
      <c r="E6" s="226"/>
      <c r="H6" s="226"/>
      <c r="I6" s="226"/>
    </row>
    <row r="7" spans="1:23">
      <c r="C7" s="200"/>
      <c r="E7" s="226"/>
      <c r="H7" s="226"/>
      <c r="I7" s="226"/>
    </row>
    <row r="8" spans="1:23">
      <c r="A8" s="201" t="s">
        <v>312</v>
      </c>
      <c r="B8" s="200" t="s">
        <v>313</v>
      </c>
      <c r="C8" s="200"/>
      <c r="D8" s="200"/>
      <c r="E8" s="200"/>
      <c r="F8" s="200"/>
      <c r="G8" s="200"/>
      <c r="H8" s="200"/>
      <c r="J8" s="226"/>
      <c r="M8" s="226"/>
      <c r="N8" s="226"/>
      <c r="R8" s="1"/>
    </row>
    <row r="9" spans="1:23">
      <c r="B9" s="271"/>
      <c r="C9" s="230"/>
      <c r="D9" s="230"/>
      <c r="E9" s="230"/>
      <c r="F9" s="230"/>
      <c r="G9" s="230"/>
      <c r="H9" s="230"/>
      <c r="J9" s="226"/>
      <c r="M9" s="226"/>
      <c r="N9" s="226"/>
      <c r="R9" s="1"/>
      <c r="W9" s="231" t="s">
        <v>56</v>
      </c>
    </row>
    <row r="10" spans="1:23" ht="15.75" customHeight="1">
      <c r="B10" s="1030" t="s">
        <v>2</v>
      </c>
      <c r="C10" s="1030" t="s">
        <v>57</v>
      </c>
      <c r="D10" s="1031" t="s">
        <v>58</v>
      </c>
      <c r="E10" s="1031"/>
      <c r="F10" s="1031"/>
      <c r="G10" s="1031"/>
      <c r="H10" s="1031"/>
      <c r="I10" s="1031" t="s">
        <v>59</v>
      </c>
      <c r="J10" s="1031"/>
      <c r="K10" s="1031"/>
      <c r="L10" s="1031"/>
      <c r="M10" s="1031"/>
      <c r="N10" s="1030" t="s">
        <v>60</v>
      </c>
      <c r="O10" s="1030"/>
      <c r="P10" s="1030"/>
      <c r="Q10" s="1030"/>
      <c r="R10" s="1030"/>
      <c r="S10" s="1030" t="s">
        <v>70</v>
      </c>
      <c r="T10" s="1030"/>
      <c r="U10" s="1030"/>
      <c r="V10" s="1030"/>
      <c r="W10" s="1030"/>
    </row>
    <row r="11" spans="1:23" ht="15.75" customHeight="1">
      <c r="B11" s="1030"/>
      <c r="C11" s="1030"/>
      <c r="D11" s="1031" t="s">
        <v>267</v>
      </c>
      <c r="E11" s="1033"/>
      <c r="F11" s="1033"/>
      <c r="G11" s="1033"/>
      <c r="H11" s="1033"/>
      <c r="I11" s="1031" t="s">
        <v>267</v>
      </c>
      <c r="J11" s="1033"/>
      <c r="K11" s="1033"/>
      <c r="L11" s="1033"/>
      <c r="M11" s="1033"/>
      <c r="N11" s="1031" t="s">
        <v>295</v>
      </c>
      <c r="O11" s="1033"/>
      <c r="P11" s="1033"/>
      <c r="Q11" s="1033"/>
      <c r="R11" s="1033"/>
      <c r="S11" s="1031" t="s">
        <v>86</v>
      </c>
      <c r="T11" s="1033"/>
      <c r="U11" s="1033"/>
      <c r="V11" s="1033"/>
      <c r="W11" s="1033"/>
    </row>
    <row r="12" spans="1:23" ht="42.75">
      <c r="B12" s="1030"/>
      <c r="C12" s="1030"/>
      <c r="D12" s="213" t="s">
        <v>314</v>
      </c>
      <c r="E12" s="213" t="s">
        <v>315</v>
      </c>
      <c r="F12" s="213" t="s">
        <v>316</v>
      </c>
      <c r="G12" s="213" t="s">
        <v>353</v>
      </c>
      <c r="H12" s="213" t="s">
        <v>317</v>
      </c>
      <c r="I12" s="213" t="s">
        <v>314</v>
      </c>
      <c r="J12" s="213" t="s">
        <v>315</v>
      </c>
      <c r="K12" s="213" t="s">
        <v>316</v>
      </c>
      <c r="L12" s="213" t="s">
        <v>353</v>
      </c>
      <c r="M12" s="213" t="s">
        <v>317</v>
      </c>
      <c r="N12" s="213" t="s">
        <v>314</v>
      </c>
      <c r="O12" s="213" t="s">
        <v>315</v>
      </c>
      <c r="P12" s="213" t="s">
        <v>316</v>
      </c>
      <c r="Q12" s="213" t="s">
        <v>353</v>
      </c>
      <c r="R12" s="213" t="s">
        <v>317</v>
      </c>
      <c r="S12" s="213" t="s">
        <v>314</v>
      </c>
      <c r="T12" s="213" t="s">
        <v>315</v>
      </c>
      <c r="U12" s="213" t="s">
        <v>316</v>
      </c>
      <c r="V12" s="213" t="s">
        <v>353</v>
      </c>
      <c r="W12" s="213" t="s">
        <v>317</v>
      </c>
    </row>
    <row r="13" spans="1:23" s="321" customFormat="1" ht="28.5">
      <c r="B13" s="198"/>
      <c r="C13" s="198"/>
      <c r="D13" s="198" t="s">
        <v>75</v>
      </c>
      <c r="E13" s="198" t="s">
        <v>76</v>
      </c>
      <c r="F13" s="198" t="s">
        <v>116</v>
      </c>
      <c r="G13" s="198" t="s">
        <v>78</v>
      </c>
      <c r="H13" s="198" t="s">
        <v>354</v>
      </c>
      <c r="I13" s="198" t="s">
        <v>319</v>
      </c>
      <c r="J13" s="198" t="s">
        <v>81</v>
      </c>
      <c r="K13" s="198" t="s">
        <v>82</v>
      </c>
      <c r="L13" s="198" t="s">
        <v>321</v>
      </c>
      <c r="M13" s="198" t="s">
        <v>355</v>
      </c>
      <c r="N13" s="198" t="s">
        <v>324</v>
      </c>
      <c r="O13" s="198" t="s">
        <v>325</v>
      </c>
      <c r="P13" s="198" t="s">
        <v>328</v>
      </c>
      <c r="Q13" s="198" t="s">
        <v>329</v>
      </c>
      <c r="R13" s="198" t="s">
        <v>356</v>
      </c>
      <c r="S13" s="198" t="s">
        <v>332</v>
      </c>
      <c r="T13" s="198" t="s">
        <v>333</v>
      </c>
      <c r="U13" s="198" t="s">
        <v>334</v>
      </c>
      <c r="V13" s="198" t="s">
        <v>336</v>
      </c>
      <c r="W13" s="198" t="s">
        <v>357</v>
      </c>
    </row>
    <row r="14" spans="1:23" s="226" customFormat="1">
      <c r="B14" s="272"/>
      <c r="C14" s="273"/>
      <c r="D14" s="273"/>
      <c r="E14" s="273"/>
      <c r="F14" s="273"/>
      <c r="G14" s="322"/>
      <c r="H14" s="273"/>
      <c r="I14" s="204"/>
      <c r="J14" s="204"/>
      <c r="K14" s="204"/>
      <c r="L14" s="322"/>
      <c r="M14" s="204"/>
      <c r="N14" s="204"/>
      <c r="O14" s="204"/>
      <c r="P14" s="204"/>
      <c r="Q14" s="322"/>
      <c r="R14" s="204"/>
      <c r="S14" s="204"/>
      <c r="T14" s="204"/>
      <c r="U14" s="204"/>
      <c r="V14" s="322"/>
      <c r="W14" s="204"/>
    </row>
    <row r="15" spans="1:23" s="226" customFormat="1">
      <c r="B15" s="272"/>
      <c r="C15" s="273"/>
      <c r="D15" s="273"/>
      <c r="E15" s="273"/>
      <c r="F15" s="273"/>
      <c r="G15" s="322"/>
      <c r="H15" s="273"/>
      <c r="I15" s="204"/>
      <c r="J15" s="204"/>
      <c r="K15" s="204"/>
      <c r="L15" s="322"/>
      <c r="M15" s="204"/>
      <c r="N15" s="204"/>
      <c r="O15" s="204"/>
      <c r="P15" s="204"/>
      <c r="Q15" s="322"/>
      <c r="R15" s="204"/>
      <c r="S15" s="204"/>
      <c r="T15" s="204"/>
      <c r="U15" s="204"/>
      <c r="V15" s="322"/>
      <c r="W15" s="204"/>
    </row>
    <row r="16" spans="1:23" s="226" customFormat="1">
      <c r="B16" s="272"/>
      <c r="C16" s="237"/>
      <c r="D16" s="237"/>
      <c r="E16" s="237"/>
      <c r="F16" s="237"/>
      <c r="G16" s="323"/>
      <c r="H16" s="237"/>
      <c r="I16" s="204"/>
      <c r="J16" s="204"/>
      <c r="K16" s="204"/>
      <c r="L16" s="323"/>
      <c r="M16" s="204"/>
      <c r="N16" s="204"/>
      <c r="O16" s="204"/>
      <c r="P16" s="204"/>
      <c r="Q16" s="323"/>
      <c r="R16" s="204"/>
      <c r="S16" s="204"/>
      <c r="T16" s="204"/>
      <c r="U16" s="204"/>
      <c r="V16" s="323"/>
      <c r="W16" s="204"/>
    </row>
    <row r="17" spans="2:23">
      <c r="B17" s="272"/>
      <c r="C17" s="273"/>
      <c r="D17" s="273"/>
      <c r="E17" s="273"/>
      <c r="F17" s="273"/>
      <c r="G17" s="322"/>
      <c r="H17" s="273"/>
      <c r="I17" s="204"/>
      <c r="J17" s="204"/>
      <c r="K17" s="204"/>
      <c r="L17" s="322"/>
      <c r="M17" s="204"/>
      <c r="N17" s="204"/>
      <c r="O17" s="204"/>
      <c r="P17" s="204"/>
      <c r="Q17" s="322"/>
      <c r="R17" s="204"/>
      <c r="S17" s="204"/>
      <c r="T17" s="204"/>
      <c r="U17" s="204"/>
      <c r="V17" s="322"/>
      <c r="W17" s="204"/>
    </row>
    <row r="18" spans="2:23">
      <c r="B18" s="272"/>
      <c r="C18" s="273"/>
      <c r="D18" s="273"/>
      <c r="E18" s="273"/>
      <c r="F18" s="273"/>
      <c r="G18" s="322"/>
      <c r="H18" s="273"/>
      <c r="I18" s="204"/>
      <c r="J18" s="204"/>
      <c r="K18" s="204"/>
      <c r="L18" s="322"/>
      <c r="M18" s="204"/>
      <c r="N18" s="204"/>
      <c r="O18" s="204"/>
      <c r="P18" s="204"/>
      <c r="Q18" s="322"/>
      <c r="R18" s="204"/>
      <c r="S18" s="204"/>
      <c r="T18" s="204"/>
      <c r="U18" s="204"/>
      <c r="V18" s="322"/>
      <c r="W18" s="204"/>
    </row>
    <row r="19" spans="2:23">
      <c r="B19" s="272"/>
      <c r="C19" s="273"/>
      <c r="D19" s="273"/>
      <c r="E19" s="273"/>
      <c r="F19" s="273"/>
      <c r="G19" s="322"/>
      <c r="H19" s="273"/>
      <c r="I19" s="204"/>
      <c r="J19" s="204"/>
      <c r="K19" s="204"/>
      <c r="L19" s="322"/>
      <c r="M19" s="204"/>
      <c r="N19" s="204"/>
      <c r="O19" s="204"/>
      <c r="P19" s="204"/>
      <c r="Q19" s="322"/>
      <c r="R19" s="204"/>
      <c r="S19" s="204"/>
      <c r="T19" s="204"/>
      <c r="U19" s="204"/>
      <c r="V19" s="322"/>
      <c r="W19" s="204"/>
    </row>
    <row r="20" spans="2:23">
      <c r="B20" s="204"/>
      <c r="C20" s="274"/>
      <c r="D20" s="274"/>
      <c r="E20" s="274"/>
      <c r="F20" s="274"/>
      <c r="G20" s="324"/>
      <c r="H20" s="274"/>
      <c r="I20" s="204"/>
      <c r="J20" s="275"/>
      <c r="K20" s="275"/>
      <c r="L20" s="324"/>
      <c r="M20" s="204"/>
      <c r="N20" s="204"/>
      <c r="O20" s="275"/>
      <c r="P20" s="275"/>
      <c r="Q20" s="324"/>
      <c r="R20" s="204"/>
      <c r="S20" s="204"/>
      <c r="T20" s="275"/>
      <c r="U20" s="275"/>
      <c r="V20" s="324"/>
      <c r="W20" s="204"/>
    </row>
    <row r="21" spans="2:23" ht="18">
      <c r="B21" s="276"/>
      <c r="C21" s="239" t="s">
        <v>235</v>
      </c>
      <c r="D21" s="239"/>
      <c r="E21" s="239"/>
      <c r="F21" s="239"/>
      <c r="G21" s="325"/>
      <c r="H21" s="239"/>
      <c r="I21" s="276"/>
      <c r="J21" s="276"/>
      <c r="K21" s="276"/>
      <c r="L21" s="325"/>
      <c r="M21" s="276"/>
      <c r="N21" s="276"/>
      <c r="O21" s="276"/>
      <c r="P21" s="276"/>
      <c r="Q21" s="325"/>
      <c r="R21" s="276"/>
      <c r="S21" s="276"/>
      <c r="T21" s="276"/>
      <c r="U21" s="276"/>
      <c r="V21" s="325"/>
      <c r="W21" s="276"/>
    </row>
    <row r="22" spans="2:23">
      <c r="B22" s="200"/>
      <c r="C22" s="230"/>
      <c r="D22" s="230"/>
      <c r="E22" s="230"/>
      <c r="F22" s="230"/>
      <c r="G22" s="230"/>
      <c r="H22" s="230"/>
      <c r="J22" s="226"/>
      <c r="M22" s="226"/>
      <c r="N22" s="226"/>
    </row>
    <row r="23" spans="2:23">
      <c r="B23" s="277" t="s">
        <v>327</v>
      </c>
      <c r="C23" s="326"/>
      <c r="D23" s="326"/>
      <c r="E23" s="326"/>
      <c r="F23" s="326"/>
      <c r="G23" s="230"/>
      <c r="H23" s="230"/>
      <c r="J23" s="226"/>
      <c r="M23" s="226"/>
      <c r="N23" s="226"/>
    </row>
    <row r="24" spans="2:23">
      <c r="B24" s="200"/>
      <c r="C24" s="230"/>
      <c r="D24" s="230"/>
      <c r="E24" s="230"/>
      <c r="F24" s="230"/>
      <c r="G24" s="230"/>
      <c r="H24" s="230"/>
      <c r="J24" s="226"/>
      <c r="M24" s="226"/>
      <c r="N24" s="226"/>
    </row>
    <row r="25" spans="2:23">
      <c r="B25" s="200"/>
      <c r="C25" s="230"/>
      <c r="D25" s="230"/>
      <c r="E25" s="230"/>
      <c r="F25" s="230"/>
      <c r="G25" s="230"/>
      <c r="H25" s="230"/>
      <c r="J25" s="226"/>
      <c r="M25" s="226"/>
      <c r="N25" s="226"/>
      <c r="W25" s="231" t="s">
        <v>56</v>
      </c>
    </row>
    <row r="26" spans="2:23" ht="15.75" customHeight="1">
      <c r="B26" s="1030" t="s">
        <v>2</v>
      </c>
      <c r="C26" s="1030" t="s">
        <v>57</v>
      </c>
      <c r="D26" s="1030" t="s">
        <v>71</v>
      </c>
      <c r="E26" s="1030"/>
      <c r="F26" s="1030"/>
      <c r="G26" s="1030"/>
      <c r="H26" s="1030"/>
      <c r="I26" s="1030" t="s">
        <v>72</v>
      </c>
      <c r="J26" s="1030"/>
      <c r="K26" s="1030"/>
      <c r="L26" s="1030"/>
      <c r="M26" s="1030"/>
      <c r="N26" s="1030" t="s">
        <v>73</v>
      </c>
      <c r="O26" s="1030"/>
      <c r="P26" s="1030"/>
      <c r="Q26" s="1030"/>
      <c r="R26" s="1030"/>
      <c r="S26" s="1030" t="s">
        <v>74</v>
      </c>
      <c r="T26" s="1030"/>
      <c r="U26" s="1030"/>
      <c r="V26" s="1030"/>
      <c r="W26" s="1030"/>
    </row>
    <row r="27" spans="2:23" ht="15.75" customHeight="1">
      <c r="B27" s="1030"/>
      <c r="C27" s="1030"/>
      <c r="D27" s="1031" t="s">
        <v>86</v>
      </c>
      <c r="E27" s="1032"/>
      <c r="F27" s="1032"/>
      <c r="G27" s="1032"/>
      <c r="H27" s="1032"/>
      <c r="I27" s="1031" t="s">
        <v>86</v>
      </c>
      <c r="J27" s="1032"/>
      <c r="K27" s="1032"/>
      <c r="L27" s="1032"/>
      <c r="M27" s="1032"/>
      <c r="N27" s="1031" t="s">
        <v>86</v>
      </c>
      <c r="O27" s="1032"/>
      <c r="P27" s="1032"/>
      <c r="Q27" s="1032"/>
      <c r="R27" s="1032"/>
      <c r="S27" s="1031" t="s">
        <v>86</v>
      </c>
      <c r="T27" s="1032"/>
      <c r="U27" s="1032"/>
      <c r="V27" s="1032"/>
      <c r="W27" s="1032"/>
    </row>
    <row r="28" spans="2:23" ht="42.75">
      <c r="B28" s="1030"/>
      <c r="C28" s="1030"/>
      <c r="D28" s="213" t="s">
        <v>314</v>
      </c>
      <c r="E28" s="213" t="s">
        <v>315</v>
      </c>
      <c r="F28" s="213" t="s">
        <v>316</v>
      </c>
      <c r="G28" s="213" t="s">
        <v>353</v>
      </c>
      <c r="H28" s="213" t="s">
        <v>317</v>
      </c>
      <c r="I28" s="213" t="s">
        <v>314</v>
      </c>
      <c r="J28" s="213" t="s">
        <v>315</v>
      </c>
      <c r="K28" s="213" t="s">
        <v>316</v>
      </c>
      <c r="L28" s="213" t="s">
        <v>353</v>
      </c>
      <c r="M28" s="213" t="s">
        <v>317</v>
      </c>
      <c r="N28" s="213" t="s">
        <v>314</v>
      </c>
      <c r="O28" s="213" t="s">
        <v>315</v>
      </c>
      <c r="P28" s="213" t="s">
        <v>316</v>
      </c>
      <c r="Q28" s="213" t="s">
        <v>353</v>
      </c>
      <c r="R28" s="213" t="s">
        <v>317</v>
      </c>
      <c r="S28" s="213" t="s">
        <v>314</v>
      </c>
      <c r="T28" s="213" t="s">
        <v>315</v>
      </c>
      <c r="U28" s="213" t="s">
        <v>316</v>
      </c>
      <c r="V28" s="213" t="s">
        <v>353</v>
      </c>
      <c r="W28" s="213" t="s">
        <v>317</v>
      </c>
    </row>
    <row r="29" spans="2:23" s="321" customFormat="1" ht="28.5">
      <c r="B29" s="198"/>
      <c r="C29" s="198"/>
      <c r="D29" s="198" t="s">
        <v>75</v>
      </c>
      <c r="E29" s="198" t="s">
        <v>76</v>
      </c>
      <c r="F29" s="198" t="s">
        <v>116</v>
      </c>
      <c r="G29" s="198" t="s">
        <v>78</v>
      </c>
      <c r="H29" s="198" t="s">
        <v>354</v>
      </c>
      <c r="I29" s="198" t="s">
        <v>319</v>
      </c>
      <c r="J29" s="198" t="s">
        <v>81</v>
      </c>
      <c r="K29" s="198" t="s">
        <v>82</v>
      </c>
      <c r="L29" s="198" t="s">
        <v>321</v>
      </c>
      <c r="M29" s="198" t="s">
        <v>355</v>
      </c>
      <c r="N29" s="198" t="s">
        <v>324</v>
      </c>
      <c r="O29" s="198" t="s">
        <v>325</v>
      </c>
      <c r="P29" s="198" t="s">
        <v>328</v>
      </c>
      <c r="Q29" s="198" t="s">
        <v>329</v>
      </c>
      <c r="R29" s="198" t="s">
        <v>356</v>
      </c>
      <c r="S29" s="198" t="s">
        <v>332</v>
      </c>
      <c r="T29" s="198" t="s">
        <v>333</v>
      </c>
      <c r="U29" s="198" t="s">
        <v>334</v>
      </c>
      <c r="V29" s="198" t="s">
        <v>336</v>
      </c>
      <c r="W29" s="198" t="s">
        <v>357</v>
      </c>
    </row>
    <row r="30" spans="2:23" s="226" customFormat="1">
      <c r="B30" s="272"/>
      <c r="C30" s="273"/>
      <c r="D30" s="273"/>
      <c r="E30" s="273"/>
      <c r="F30" s="273"/>
      <c r="G30" s="322"/>
      <c r="H30" s="273"/>
      <c r="I30" s="204"/>
      <c r="J30" s="204"/>
      <c r="K30" s="204"/>
      <c r="L30" s="322"/>
      <c r="M30" s="204"/>
      <c r="N30" s="204"/>
      <c r="O30" s="204"/>
      <c r="P30" s="204"/>
      <c r="Q30" s="322"/>
      <c r="R30" s="204"/>
      <c r="S30" s="204"/>
      <c r="T30" s="204"/>
      <c r="U30" s="204"/>
      <c r="V30" s="322"/>
      <c r="W30" s="204"/>
    </row>
    <row r="31" spans="2:23" s="226" customFormat="1">
      <c r="B31" s="272"/>
      <c r="C31" s="273"/>
      <c r="D31" s="273"/>
      <c r="E31" s="273"/>
      <c r="F31" s="273"/>
      <c r="G31" s="322"/>
      <c r="H31" s="273"/>
      <c r="I31" s="204"/>
      <c r="J31" s="204"/>
      <c r="K31" s="204"/>
      <c r="L31" s="322"/>
      <c r="M31" s="204"/>
      <c r="N31" s="204"/>
      <c r="O31" s="204"/>
      <c r="P31" s="204"/>
      <c r="Q31" s="322"/>
      <c r="R31" s="204"/>
      <c r="S31" s="204"/>
      <c r="T31" s="204"/>
      <c r="U31" s="204"/>
      <c r="V31" s="322"/>
      <c r="W31" s="204"/>
    </row>
    <row r="32" spans="2:23" s="226" customFormat="1">
      <c r="B32" s="272"/>
      <c r="C32" s="237"/>
      <c r="D32" s="237"/>
      <c r="E32" s="237"/>
      <c r="F32" s="237"/>
      <c r="G32" s="323"/>
      <c r="H32" s="237"/>
      <c r="I32" s="204"/>
      <c r="J32" s="204"/>
      <c r="K32" s="204"/>
      <c r="L32" s="323"/>
      <c r="M32" s="204"/>
      <c r="N32" s="204"/>
      <c r="O32" s="204"/>
      <c r="P32" s="204"/>
      <c r="Q32" s="323"/>
      <c r="R32" s="204"/>
      <c r="S32" s="204"/>
      <c r="T32" s="204"/>
      <c r="U32" s="204"/>
      <c r="V32" s="323"/>
      <c r="W32" s="204"/>
    </row>
    <row r="33" spans="2:26">
      <c r="B33" s="272"/>
      <c r="C33" s="273"/>
      <c r="D33" s="273"/>
      <c r="E33" s="273"/>
      <c r="F33" s="273"/>
      <c r="G33" s="322"/>
      <c r="H33" s="273"/>
      <c r="I33" s="204"/>
      <c r="J33" s="204"/>
      <c r="K33" s="204"/>
      <c r="L33" s="322"/>
      <c r="M33" s="204"/>
      <c r="N33" s="204"/>
      <c r="O33" s="204"/>
      <c r="P33" s="204"/>
      <c r="Q33" s="322"/>
      <c r="R33" s="204"/>
      <c r="S33" s="204"/>
      <c r="T33" s="204"/>
      <c r="U33" s="204"/>
      <c r="V33" s="322"/>
      <c r="W33" s="204"/>
    </row>
    <row r="34" spans="2:26">
      <c r="B34" s="272"/>
      <c r="C34" s="273"/>
      <c r="D34" s="273"/>
      <c r="E34" s="273"/>
      <c r="F34" s="273"/>
      <c r="G34" s="322"/>
      <c r="H34" s="273"/>
      <c r="I34" s="204"/>
      <c r="J34" s="204"/>
      <c r="K34" s="204"/>
      <c r="L34" s="322"/>
      <c r="M34" s="204"/>
      <c r="N34" s="204"/>
      <c r="O34" s="204"/>
      <c r="P34" s="204"/>
      <c r="Q34" s="322"/>
      <c r="R34" s="204"/>
      <c r="S34" s="204"/>
      <c r="T34" s="204"/>
      <c r="U34" s="204"/>
      <c r="V34" s="322"/>
      <c r="W34" s="204"/>
    </row>
    <row r="35" spans="2:26">
      <c r="B35" s="272"/>
      <c r="C35" s="273"/>
      <c r="D35" s="273"/>
      <c r="E35" s="273"/>
      <c r="F35" s="273"/>
      <c r="G35" s="322"/>
      <c r="H35" s="273"/>
      <c r="I35" s="204"/>
      <c r="J35" s="204"/>
      <c r="K35" s="204"/>
      <c r="L35" s="322"/>
      <c r="M35" s="204"/>
      <c r="N35" s="204"/>
      <c r="O35" s="204"/>
      <c r="P35" s="204"/>
      <c r="Q35" s="322"/>
      <c r="R35" s="204"/>
      <c r="S35" s="204"/>
      <c r="T35" s="204"/>
      <c r="U35" s="204"/>
      <c r="V35" s="322"/>
      <c r="W35" s="204"/>
    </row>
    <row r="36" spans="2:26">
      <c r="B36" s="204"/>
      <c r="C36" s="274"/>
      <c r="D36" s="274"/>
      <c r="E36" s="274"/>
      <c r="F36" s="274"/>
      <c r="G36" s="324"/>
      <c r="H36" s="274"/>
      <c r="I36" s="204"/>
      <c r="J36" s="275"/>
      <c r="K36" s="275"/>
      <c r="L36" s="324"/>
      <c r="M36" s="204"/>
      <c r="N36" s="204"/>
      <c r="O36" s="275"/>
      <c r="P36" s="275"/>
      <c r="Q36" s="324"/>
      <c r="R36" s="204"/>
      <c r="S36" s="204"/>
      <c r="T36" s="275"/>
      <c r="U36" s="275"/>
      <c r="V36" s="324"/>
      <c r="W36" s="204"/>
    </row>
    <row r="37" spans="2:26" ht="18">
      <c r="B37" s="276"/>
      <c r="C37" s="239" t="s">
        <v>235</v>
      </c>
      <c r="D37" s="239"/>
      <c r="E37" s="239"/>
      <c r="F37" s="239"/>
      <c r="G37" s="325"/>
      <c r="H37" s="239"/>
      <c r="I37" s="276"/>
      <c r="J37" s="276"/>
      <c r="K37" s="276"/>
      <c r="L37" s="325"/>
      <c r="M37" s="276"/>
      <c r="N37" s="276"/>
      <c r="O37" s="276"/>
      <c r="P37" s="276"/>
      <c r="Q37" s="325"/>
      <c r="R37" s="276"/>
      <c r="S37" s="276"/>
      <c r="T37" s="276"/>
      <c r="U37" s="276"/>
      <c r="V37" s="325"/>
      <c r="W37" s="276"/>
    </row>
    <row r="38" spans="2:26" ht="18">
      <c r="B38" s="241"/>
      <c r="C38" s="241"/>
      <c r="D38" s="241"/>
      <c r="E38" s="241"/>
      <c r="F38" s="241"/>
      <c r="G38" s="241"/>
      <c r="H38" s="241"/>
      <c r="I38" s="241"/>
      <c r="J38" s="241"/>
      <c r="K38" s="241"/>
      <c r="L38" s="241"/>
      <c r="M38" s="241"/>
      <c r="N38" s="241"/>
      <c r="O38" s="241"/>
      <c r="X38" s="241"/>
      <c r="Y38" s="241"/>
      <c r="Z38" s="241"/>
    </row>
    <row r="39" spans="2:26" ht="18">
      <c r="B39" s="241"/>
      <c r="C39" s="241"/>
      <c r="D39" s="241"/>
      <c r="E39" s="241"/>
      <c r="F39" s="241"/>
      <c r="G39" s="241"/>
      <c r="H39" s="241"/>
      <c r="I39" s="241"/>
      <c r="J39" s="241"/>
      <c r="K39" s="241"/>
      <c r="L39" s="241"/>
      <c r="M39" s="241"/>
      <c r="N39" s="241"/>
      <c r="O39" s="241"/>
    </row>
    <row r="40" spans="2:26" ht="18">
      <c r="X40" s="241"/>
      <c r="Y40" s="241"/>
      <c r="Z40" s="241"/>
    </row>
    <row r="41" spans="2:26">
      <c r="B41" s="200" t="s">
        <v>344</v>
      </c>
    </row>
    <row r="42" spans="2:26">
      <c r="B42" s="200"/>
    </row>
    <row r="43" spans="2:26">
      <c r="J43" s="226"/>
      <c r="M43" s="226"/>
      <c r="N43" s="226"/>
      <c r="R43" s="231" t="s">
        <v>56</v>
      </c>
    </row>
    <row r="44" spans="2:26" ht="15" customHeight="1">
      <c r="B44" s="1030" t="s">
        <v>2</v>
      </c>
      <c r="C44" s="1030" t="s">
        <v>57</v>
      </c>
      <c r="D44" s="1031" t="s">
        <v>58</v>
      </c>
      <c r="E44" s="1031"/>
      <c r="F44" s="1031"/>
      <c r="G44" s="1031"/>
      <c r="H44" s="1031"/>
      <c r="I44" s="1031" t="s">
        <v>59</v>
      </c>
      <c r="J44" s="1031"/>
      <c r="K44" s="1031"/>
      <c r="L44" s="1031"/>
      <c r="M44" s="1031"/>
      <c r="N44" s="1030" t="s">
        <v>60</v>
      </c>
      <c r="O44" s="1030"/>
      <c r="P44" s="1030"/>
      <c r="Q44" s="1030"/>
      <c r="R44" s="1030"/>
      <c r="S44" s="1030" t="s">
        <v>70</v>
      </c>
      <c r="T44" s="1030"/>
      <c r="U44" s="1030"/>
      <c r="V44" s="1030"/>
      <c r="W44" s="1030"/>
    </row>
    <row r="45" spans="2:26">
      <c r="B45" s="1030"/>
      <c r="C45" s="1030"/>
      <c r="D45" s="1031" t="s">
        <v>267</v>
      </c>
      <c r="E45" s="1033"/>
      <c r="F45" s="1033"/>
      <c r="G45" s="1033"/>
      <c r="H45" s="1033"/>
      <c r="I45" s="1031" t="s">
        <v>267</v>
      </c>
      <c r="J45" s="1033"/>
      <c r="K45" s="1033"/>
      <c r="L45" s="1033"/>
      <c r="M45" s="1033"/>
      <c r="N45" s="1031" t="s">
        <v>295</v>
      </c>
      <c r="O45" s="1033"/>
      <c r="P45" s="1033"/>
      <c r="Q45" s="1033"/>
      <c r="R45" s="1033"/>
      <c r="S45" s="1031" t="s">
        <v>86</v>
      </c>
      <c r="T45" s="1033"/>
      <c r="U45" s="1033"/>
      <c r="V45" s="1033"/>
      <c r="W45" s="1033"/>
    </row>
    <row r="46" spans="2:26" ht="57">
      <c r="B46" s="1030"/>
      <c r="C46" s="1030"/>
      <c r="D46" s="213" t="s">
        <v>346</v>
      </c>
      <c r="E46" s="213" t="s">
        <v>315</v>
      </c>
      <c r="F46" s="214" t="s">
        <v>347</v>
      </c>
      <c r="G46" s="213" t="s">
        <v>353</v>
      </c>
      <c r="H46" s="213" t="s">
        <v>348</v>
      </c>
      <c r="I46" s="213" t="s">
        <v>346</v>
      </c>
      <c r="J46" s="213" t="s">
        <v>315</v>
      </c>
      <c r="K46" s="214" t="s">
        <v>347</v>
      </c>
      <c r="L46" s="213" t="s">
        <v>353</v>
      </c>
      <c r="M46" s="213" t="s">
        <v>348</v>
      </c>
      <c r="N46" s="213" t="s">
        <v>346</v>
      </c>
      <c r="O46" s="213" t="s">
        <v>315</v>
      </c>
      <c r="P46" s="214" t="s">
        <v>347</v>
      </c>
      <c r="Q46" s="213" t="s">
        <v>353</v>
      </c>
      <c r="R46" s="213" t="s">
        <v>348</v>
      </c>
      <c r="S46" s="213" t="s">
        <v>346</v>
      </c>
      <c r="T46" s="213" t="s">
        <v>315</v>
      </c>
      <c r="U46" s="214" t="s">
        <v>347</v>
      </c>
      <c r="V46" s="213" t="s">
        <v>353</v>
      </c>
      <c r="W46" s="213" t="s">
        <v>348</v>
      </c>
    </row>
    <row r="47" spans="2:26" ht="28.5">
      <c r="B47" s="198"/>
      <c r="C47" s="198"/>
      <c r="D47" s="198" t="s">
        <v>75</v>
      </c>
      <c r="E47" s="198" t="s">
        <v>76</v>
      </c>
      <c r="F47" s="198" t="s">
        <v>116</v>
      </c>
      <c r="G47" s="198" t="s">
        <v>78</v>
      </c>
      <c r="H47" s="198" t="s">
        <v>354</v>
      </c>
      <c r="I47" s="198" t="s">
        <v>319</v>
      </c>
      <c r="J47" s="198" t="s">
        <v>81</v>
      </c>
      <c r="K47" s="198" t="s">
        <v>82</v>
      </c>
      <c r="L47" s="198" t="s">
        <v>321</v>
      </c>
      <c r="M47" s="198" t="s">
        <v>355</v>
      </c>
      <c r="N47" s="198" t="s">
        <v>324</v>
      </c>
      <c r="O47" s="198" t="s">
        <v>325</v>
      </c>
      <c r="P47" s="198" t="s">
        <v>328</v>
      </c>
      <c r="Q47" s="198" t="s">
        <v>329</v>
      </c>
      <c r="R47" s="198" t="s">
        <v>356</v>
      </c>
      <c r="S47" s="198" t="s">
        <v>332</v>
      </c>
      <c r="T47" s="198" t="s">
        <v>333</v>
      </c>
      <c r="U47" s="198" t="s">
        <v>334</v>
      </c>
      <c r="V47" s="198" t="s">
        <v>336</v>
      </c>
      <c r="W47" s="198" t="s">
        <v>357</v>
      </c>
    </row>
    <row r="48" spans="2:26">
      <c r="B48" s="272"/>
      <c r="C48" s="273"/>
      <c r="D48" s="273"/>
      <c r="E48" s="273"/>
      <c r="F48" s="273"/>
      <c r="G48" s="322"/>
      <c r="H48" s="273"/>
      <c r="I48" s="204"/>
      <c r="J48" s="204"/>
      <c r="K48" s="204"/>
      <c r="L48" s="322"/>
      <c r="M48" s="204"/>
      <c r="N48" s="204"/>
      <c r="O48" s="204"/>
      <c r="P48" s="204"/>
      <c r="Q48" s="322"/>
      <c r="R48" s="204"/>
      <c r="S48" s="204"/>
      <c r="T48" s="204"/>
      <c r="U48" s="204"/>
      <c r="V48" s="322"/>
      <c r="W48" s="204"/>
    </row>
    <row r="49" spans="2:38">
      <c r="B49" s="272"/>
      <c r="C49" s="273"/>
      <c r="D49" s="273"/>
      <c r="E49" s="273"/>
      <c r="F49" s="273"/>
      <c r="G49" s="322"/>
      <c r="H49" s="273"/>
      <c r="I49" s="204"/>
      <c r="J49" s="204"/>
      <c r="K49" s="204"/>
      <c r="L49" s="322"/>
      <c r="M49" s="204"/>
      <c r="N49" s="204"/>
      <c r="O49" s="204"/>
      <c r="P49" s="204"/>
      <c r="Q49" s="322"/>
      <c r="R49" s="204"/>
      <c r="S49" s="204"/>
      <c r="T49" s="204"/>
      <c r="U49" s="204"/>
      <c r="V49" s="322"/>
      <c r="W49" s="204"/>
    </row>
    <row r="50" spans="2:38">
      <c r="B50" s="272"/>
      <c r="C50" s="273"/>
      <c r="D50" s="273"/>
      <c r="E50" s="273"/>
      <c r="F50" s="273"/>
      <c r="G50" s="323"/>
      <c r="H50" s="273"/>
      <c r="I50" s="204"/>
      <c r="J50" s="204"/>
      <c r="K50" s="204"/>
      <c r="L50" s="323"/>
      <c r="M50" s="204"/>
      <c r="N50" s="204"/>
      <c r="O50" s="204"/>
      <c r="P50" s="204"/>
      <c r="Q50" s="323"/>
      <c r="R50" s="204"/>
      <c r="S50" s="204"/>
      <c r="T50" s="204"/>
      <c r="U50" s="204"/>
      <c r="V50" s="323"/>
      <c r="W50" s="204"/>
    </row>
    <row r="51" spans="2:38">
      <c r="B51" s="272"/>
      <c r="C51" s="273"/>
      <c r="D51" s="273"/>
      <c r="E51" s="273"/>
      <c r="F51" s="273"/>
      <c r="G51" s="322"/>
      <c r="H51" s="273"/>
      <c r="I51" s="204"/>
      <c r="J51" s="204"/>
      <c r="K51" s="204"/>
      <c r="L51" s="322"/>
      <c r="M51" s="204"/>
      <c r="N51" s="204"/>
      <c r="O51" s="204"/>
      <c r="P51" s="204"/>
      <c r="Q51" s="322"/>
      <c r="R51" s="204"/>
      <c r="S51" s="204"/>
      <c r="T51" s="204"/>
      <c r="U51" s="204"/>
      <c r="V51" s="322"/>
      <c r="W51" s="204"/>
    </row>
    <row r="52" spans="2:38">
      <c r="B52" s="272"/>
      <c r="C52" s="273"/>
      <c r="D52" s="273"/>
      <c r="E52" s="273"/>
      <c r="F52" s="273"/>
      <c r="G52" s="322"/>
      <c r="H52" s="273"/>
      <c r="I52" s="204"/>
      <c r="J52" s="204"/>
      <c r="K52" s="204"/>
      <c r="L52" s="322"/>
      <c r="M52" s="204"/>
      <c r="N52" s="204"/>
      <c r="O52" s="204"/>
      <c r="P52" s="204"/>
      <c r="Q52" s="322"/>
      <c r="R52" s="204"/>
      <c r="S52" s="204"/>
      <c r="T52" s="204"/>
      <c r="U52" s="204"/>
      <c r="V52" s="322"/>
      <c r="W52" s="204"/>
    </row>
    <row r="53" spans="2:38">
      <c r="B53" s="204"/>
      <c r="C53" s="274"/>
      <c r="D53" s="274"/>
      <c r="E53" s="274"/>
      <c r="F53" s="274"/>
      <c r="G53" s="322"/>
      <c r="H53" s="274"/>
      <c r="I53" s="204"/>
      <c r="J53" s="275"/>
      <c r="K53" s="275"/>
      <c r="L53" s="322"/>
      <c r="M53" s="204"/>
      <c r="N53" s="204"/>
      <c r="O53" s="275"/>
      <c r="P53" s="275"/>
      <c r="Q53" s="322"/>
      <c r="R53" s="204"/>
      <c r="S53" s="204"/>
      <c r="T53" s="204"/>
      <c r="U53" s="204"/>
      <c r="V53" s="322"/>
      <c r="W53" s="204"/>
    </row>
    <row r="54" spans="2:38" ht="18">
      <c r="B54" s="276"/>
      <c r="C54" s="239" t="s">
        <v>235</v>
      </c>
      <c r="D54" s="239"/>
      <c r="E54" s="239">
        <v>115.6</v>
      </c>
      <c r="F54" s="239"/>
      <c r="G54" s="324"/>
      <c r="H54" s="239"/>
      <c r="I54" s="276"/>
      <c r="J54" s="276">
        <v>115.51</v>
      </c>
      <c r="K54" s="276"/>
      <c r="L54" s="324"/>
      <c r="M54" s="276"/>
      <c r="N54" s="276"/>
      <c r="O54" s="276">
        <v>114.13</v>
      </c>
      <c r="P54" s="276"/>
      <c r="Q54" s="324"/>
      <c r="R54" s="276"/>
      <c r="S54" s="204"/>
      <c r="T54" s="275">
        <v>114.13</v>
      </c>
      <c r="U54" s="275"/>
      <c r="V54" s="324"/>
      <c r="W54" s="204"/>
    </row>
    <row r="55" spans="2:38" ht="18">
      <c r="B55" s="241"/>
      <c r="C55" s="278"/>
      <c r="D55" s="278"/>
      <c r="E55" s="278"/>
      <c r="F55" s="278"/>
      <c r="G55" s="278"/>
      <c r="H55" s="278"/>
      <c r="I55" s="241"/>
      <c r="J55" s="241"/>
      <c r="K55" s="241"/>
      <c r="L55" s="241"/>
      <c r="M55" s="241"/>
      <c r="N55" s="241"/>
      <c r="O55" s="241"/>
      <c r="P55" s="241"/>
      <c r="Q55" s="241"/>
      <c r="R55" s="241"/>
      <c r="T55" s="279"/>
      <c r="U55" s="279"/>
      <c r="V55" s="279"/>
    </row>
    <row r="56" spans="2:38" ht="18">
      <c r="B56" s="277" t="s">
        <v>358</v>
      </c>
      <c r="C56" s="280"/>
      <c r="D56" s="280"/>
      <c r="E56" s="280"/>
      <c r="F56" s="280"/>
      <c r="G56" s="280"/>
      <c r="H56" s="280"/>
      <c r="I56" s="281"/>
      <c r="J56" s="281"/>
      <c r="K56" s="241"/>
      <c r="L56" s="241"/>
      <c r="M56" s="241"/>
      <c r="N56" s="241"/>
      <c r="O56" s="241"/>
      <c r="P56" s="241"/>
      <c r="Q56" s="241"/>
      <c r="R56" s="241"/>
      <c r="T56" s="279"/>
      <c r="U56" s="279"/>
      <c r="V56" s="279"/>
      <c r="X56" s="241"/>
      <c r="Y56" s="241"/>
      <c r="Z56" s="241"/>
      <c r="AA56" s="241"/>
      <c r="AB56" s="241"/>
      <c r="AC56" s="241"/>
      <c r="AD56" s="241"/>
      <c r="AE56" s="241"/>
      <c r="AF56" s="241"/>
      <c r="AG56" s="241"/>
      <c r="AH56" s="241"/>
      <c r="AI56" s="241"/>
      <c r="AJ56" s="241"/>
      <c r="AK56" s="241"/>
      <c r="AL56" s="241"/>
    </row>
    <row r="57" spans="2:38" ht="18">
      <c r="B57" s="277" t="s">
        <v>359</v>
      </c>
      <c r="C57" s="280"/>
      <c r="D57" s="280"/>
      <c r="E57" s="280"/>
      <c r="F57" s="280"/>
      <c r="G57" s="280"/>
      <c r="H57" s="280"/>
      <c r="I57" s="281"/>
      <c r="J57" s="281"/>
      <c r="K57" s="241"/>
      <c r="L57" s="241"/>
      <c r="M57" s="241"/>
      <c r="N57" s="241"/>
      <c r="O57" s="241"/>
      <c r="P57" s="241"/>
      <c r="Q57" s="241"/>
      <c r="R57" s="241"/>
      <c r="T57" s="279"/>
      <c r="U57" s="279"/>
      <c r="V57" s="279"/>
      <c r="X57" s="241"/>
      <c r="Y57" s="241"/>
      <c r="Z57" s="241"/>
      <c r="AA57" s="241"/>
      <c r="AB57" s="241"/>
      <c r="AC57" s="241"/>
      <c r="AD57" s="241"/>
      <c r="AE57" s="241"/>
      <c r="AF57" s="241"/>
      <c r="AG57" s="241"/>
      <c r="AH57" s="241"/>
      <c r="AI57" s="241"/>
      <c r="AJ57" s="241"/>
      <c r="AK57" s="241"/>
      <c r="AL57" s="241"/>
    </row>
    <row r="58" spans="2:38" ht="18">
      <c r="B58" s="241"/>
      <c r="C58" s="278"/>
      <c r="D58" s="278"/>
      <c r="E58" s="278"/>
      <c r="F58" s="278"/>
      <c r="G58" s="278"/>
      <c r="H58" s="278"/>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row>
    <row r="59" spans="2:38" ht="15" customHeight="1">
      <c r="B59" s="241"/>
      <c r="C59" s="278"/>
      <c r="D59" s="278"/>
      <c r="E59" s="278"/>
      <c r="F59" s="278"/>
      <c r="G59" s="278"/>
      <c r="H59" s="278"/>
      <c r="I59" s="241"/>
      <c r="J59" s="241"/>
      <c r="K59" s="241"/>
      <c r="L59" s="241"/>
      <c r="M59" s="241"/>
      <c r="N59" s="241"/>
      <c r="O59" s="241"/>
      <c r="P59" s="241"/>
      <c r="Q59" s="241"/>
      <c r="R59" s="231" t="s">
        <v>56</v>
      </c>
      <c r="S59" s="241"/>
      <c r="T59" s="241"/>
      <c r="U59" s="241"/>
      <c r="V59" s="241"/>
      <c r="W59" s="241"/>
    </row>
    <row r="60" spans="2:38">
      <c r="B60" s="1030" t="s">
        <v>2</v>
      </c>
      <c r="C60" s="1030" t="s">
        <v>57</v>
      </c>
      <c r="D60" s="1030" t="s">
        <v>71</v>
      </c>
      <c r="E60" s="1030"/>
      <c r="F60" s="1030"/>
      <c r="G60" s="1030"/>
      <c r="H60" s="1030"/>
      <c r="I60" s="1030" t="s">
        <v>72</v>
      </c>
      <c r="J60" s="1030"/>
      <c r="K60" s="1030"/>
      <c r="L60" s="1030"/>
      <c r="M60" s="1030"/>
      <c r="N60" s="1030" t="s">
        <v>73</v>
      </c>
      <c r="O60" s="1030"/>
      <c r="P60" s="1030"/>
      <c r="Q60" s="1030"/>
      <c r="R60" s="1030"/>
      <c r="S60" s="1030" t="s">
        <v>74</v>
      </c>
      <c r="T60" s="1030"/>
      <c r="U60" s="1030"/>
      <c r="V60" s="1030"/>
      <c r="W60" s="1030"/>
    </row>
    <row r="61" spans="2:38">
      <c r="B61" s="1030"/>
      <c r="C61" s="1030"/>
      <c r="D61" s="1031" t="s">
        <v>86</v>
      </c>
      <c r="E61" s="1032"/>
      <c r="F61" s="1032"/>
      <c r="G61" s="1032"/>
      <c r="H61" s="1032"/>
      <c r="I61" s="1031" t="s">
        <v>86</v>
      </c>
      <c r="J61" s="1032"/>
      <c r="K61" s="1032"/>
      <c r="L61" s="1032"/>
      <c r="M61" s="1032"/>
      <c r="N61" s="1031" t="s">
        <v>86</v>
      </c>
      <c r="O61" s="1032"/>
      <c r="P61" s="1032"/>
      <c r="Q61" s="1032"/>
      <c r="R61" s="1032"/>
      <c r="S61" s="1031" t="s">
        <v>86</v>
      </c>
      <c r="T61" s="1032"/>
      <c r="U61" s="1032"/>
      <c r="V61" s="1032"/>
      <c r="W61" s="1032"/>
    </row>
    <row r="62" spans="2:38" ht="57">
      <c r="B62" s="1030"/>
      <c r="C62" s="1030"/>
      <c r="D62" s="213" t="s">
        <v>346</v>
      </c>
      <c r="E62" s="213" t="s">
        <v>315</v>
      </c>
      <c r="F62" s="214" t="s">
        <v>347</v>
      </c>
      <c r="G62" s="213" t="s">
        <v>353</v>
      </c>
      <c r="H62" s="213" t="s">
        <v>348</v>
      </c>
      <c r="I62" s="213" t="s">
        <v>346</v>
      </c>
      <c r="J62" s="213" t="s">
        <v>315</v>
      </c>
      <c r="K62" s="214" t="s">
        <v>347</v>
      </c>
      <c r="L62" s="213" t="s">
        <v>353</v>
      </c>
      <c r="M62" s="213" t="s">
        <v>348</v>
      </c>
      <c r="N62" s="213" t="s">
        <v>346</v>
      </c>
      <c r="O62" s="213" t="s">
        <v>315</v>
      </c>
      <c r="P62" s="214" t="s">
        <v>347</v>
      </c>
      <c r="Q62" s="213" t="s">
        <v>353</v>
      </c>
      <c r="R62" s="213" t="s">
        <v>348</v>
      </c>
      <c r="S62" s="213" t="s">
        <v>346</v>
      </c>
      <c r="T62" s="213" t="s">
        <v>315</v>
      </c>
      <c r="U62" s="214" t="s">
        <v>347</v>
      </c>
      <c r="V62" s="213" t="s">
        <v>353</v>
      </c>
      <c r="W62" s="213" t="s">
        <v>348</v>
      </c>
    </row>
    <row r="63" spans="2:38" ht="28.5">
      <c r="B63" s="198"/>
      <c r="C63" s="198"/>
      <c r="D63" s="198" t="s">
        <v>75</v>
      </c>
      <c r="E63" s="198" t="s">
        <v>76</v>
      </c>
      <c r="F63" s="198" t="s">
        <v>116</v>
      </c>
      <c r="G63" s="198" t="s">
        <v>78</v>
      </c>
      <c r="H63" s="198" t="s">
        <v>354</v>
      </c>
      <c r="I63" s="198" t="s">
        <v>319</v>
      </c>
      <c r="J63" s="198" t="s">
        <v>81</v>
      </c>
      <c r="K63" s="198" t="s">
        <v>82</v>
      </c>
      <c r="L63" s="198" t="s">
        <v>321</v>
      </c>
      <c r="M63" s="198" t="s">
        <v>355</v>
      </c>
      <c r="N63" s="198" t="s">
        <v>324</v>
      </c>
      <c r="O63" s="198" t="s">
        <v>325</v>
      </c>
      <c r="P63" s="198" t="s">
        <v>328</v>
      </c>
      <c r="Q63" s="198" t="s">
        <v>329</v>
      </c>
      <c r="R63" s="198" t="s">
        <v>356</v>
      </c>
      <c r="S63" s="198" t="s">
        <v>332</v>
      </c>
      <c r="T63" s="198" t="s">
        <v>333</v>
      </c>
      <c r="U63" s="198" t="s">
        <v>334</v>
      </c>
      <c r="V63" s="198" t="s">
        <v>336</v>
      </c>
      <c r="W63" s="198" t="s">
        <v>357</v>
      </c>
    </row>
    <row r="64" spans="2:38">
      <c r="B64" s="272"/>
      <c r="C64" s="273"/>
      <c r="D64" s="273"/>
      <c r="E64" s="273"/>
      <c r="F64" s="273"/>
      <c r="G64" s="322"/>
      <c r="H64" s="273"/>
      <c r="I64" s="204"/>
      <c r="J64" s="204"/>
      <c r="K64" s="204"/>
      <c r="L64" s="322"/>
      <c r="M64" s="204"/>
      <c r="N64" s="204"/>
      <c r="O64" s="204"/>
      <c r="P64" s="204"/>
      <c r="Q64" s="322"/>
      <c r="R64" s="204"/>
      <c r="S64" s="204"/>
      <c r="T64" s="204"/>
      <c r="U64" s="204"/>
      <c r="V64" s="322"/>
      <c r="W64" s="204"/>
    </row>
    <row r="65" spans="2:23">
      <c r="B65" s="272"/>
      <c r="C65" s="273"/>
      <c r="D65" s="273"/>
      <c r="E65" s="273"/>
      <c r="F65" s="273"/>
      <c r="G65" s="322"/>
      <c r="H65" s="273"/>
      <c r="I65" s="204"/>
      <c r="J65" s="204"/>
      <c r="K65" s="204"/>
      <c r="L65" s="322"/>
      <c r="M65" s="204"/>
      <c r="N65" s="204"/>
      <c r="O65" s="204"/>
      <c r="P65" s="204"/>
      <c r="Q65" s="322"/>
      <c r="R65" s="204"/>
      <c r="S65" s="204"/>
      <c r="T65" s="204"/>
      <c r="U65" s="204"/>
      <c r="V65" s="322"/>
      <c r="W65" s="204"/>
    </row>
    <row r="66" spans="2:23">
      <c r="B66" s="272"/>
      <c r="C66" s="273"/>
      <c r="D66" s="273"/>
      <c r="E66" s="273"/>
      <c r="F66" s="273"/>
      <c r="G66" s="323"/>
      <c r="H66" s="273"/>
      <c r="I66" s="204"/>
      <c r="J66" s="204"/>
      <c r="K66" s="204"/>
      <c r="L66" s="323"/>
      <c r="M66" s="204"/>
      <c r="N66" s="204"/>
      <c r="O66" s="204"/>
      <c r="P66" s="204"/>
      <c r="Q66" s="323"/>
      <c r="R66" s="204"/>
      <c r="S66" s="204"/>
      <c r="T66" s="204"/>
      <c r="U66" s="204"/>
      <c r="V66" s="323"/>
      <c r="W66" s="204"/>
    </row>
    <row r="67" spans="2:23">
      <c r="B67" s="272"/>
      <c r="C67" s="273"/>
      <c r="D67" s="273"/>
      <c r="E67" s="273"/>
      <c r="F67" s="273"/>
      <c r="G67" s="322"/>
      <c r="H67" s="273"/>
      <c r="I67" s="204"/>
      <c r="J67" s="204"/>
      <c r="K67" s="204"/>
      <c r="L67" s="322"/>
      <c r="M67" s="204"/>
      <c r="N67" s="204"/>
      <c r="O67" s="204"/>
      <c r="P67" s="204"/>
      <c r="Q67" s="322"/>
      <c r="R67" s="204"/>
      <c r="S67" s="204"/>
      <c r="T67" s="204"/>
      <c r="U67" s="204"/>
      <c r="V67" s="322"/>
      <c r="W67" s="204"/>
    </row>
    <row r="68" spans="2:23">
      <c r="B68" s="272"/>
      <c r="C68" s="273"/>
      <c r="D68" s="273"/>
      <c r="E68" s="273"/>
      <c r="F68" s="273"/>
      <c r="G68" s="322"/>
      <c r="H68" s="273"/>
      <c r="I68" s="204"/>
      <c r="J68" s="204"/>
      <c r="K68" s="204"/>
      <c r="L68" s="322"/>
      <c r="M68" s="204"/>
      <c r="N68" s="204"/>
      <c r="O68" s="204"/>
      <c r="P68" s="204"/>
      <c r="Q68" s="322"/>
      <c r="R68" s="204"/>
      <c r="S68" s="204"/>
      <c r="T68" s="204"/>
      <c r="U68" s="204"/>
      <c r="V68" s="322"/>
      <c r="W68" s="204"/>
    </row>
    <row r="69" spans="2:23">
      <c r="B69" s="204"/>
      <c r="C69" s="274"/>
      <c r="D69" s="274"/>
      <c r="E69" s="274"/>
      <c r="F69" s="274"/>
      <c r="G69" s="322"/>
      <c r="H69" s="274"/>
      <c r="I69" s="204"/>
      <c r="J69" s="275"/>
      <c r="K69" s="275"/>
      <c r="L69" s="322"/>
      <c r="M69" s="204"/>
      <c r="N69" s="204"/>
      <c r="O69" s="275"/>
      <c r="P69" s="275"/>
      <c r="Q69" s="322"/>
      <c r="R69" s="204"/>
      <c r="S69" s="204"/>
      <c r="T69" s="275"/>
      <c r="U69" s="275"/>
      <c r="V69" s="322"/>
      <c r="W69" s="204"/>
    </row>
    <row r="70" spans="2:23" ht="18">
      <c r="B70" s="276"/>
      <c r="C70" s="239" t="s">
        <v>235</v>
      </c>
      <c r="D70" s="239"/>
      <c r="E70" s="239">
        <v>114.13</v>
      </c>
      <c r="F70" s="239"/>
      <c r="G70" s="324"/>
      <c r="H70" s="239"/>
      <c r="I70" s="276"/>
      <c r="J70" s="276">
        <v>114.13</v>
      </c>
      <c r="K70" s="276"/>
      <c r="L70" s="324"/>
      <c r="M70" s="276"/>
      <c r="N70" s="276"/>
      <c r="O70" s="276">
        <v>114.13</v>
      </c>
      <c r="P70" s="276"/>
      <c r="Q70" s="324"/>
      <c r="R70" s="276"/>
      <c r="S70" s="276"/>
      <c r="T70" s="276">
        <v>114.13</v>
      </c>
      <c r="U70" s="276"/>
      <c r="V70" s="324"/>
      <c r="W70" s="276"/>
    </row>
    <row r="71" spans="2:23" ht="18">
      <c r="B71" s="241"/>
      <c r="C71" s="278"/>
      <c r="D71" s="278"/>
      <c r="E71" s="278"/>
      <c r="F71" s="278"/>
      <c r="G71" s="278"/>
      <c r="H71" s="278"/>
      <c r="I71" s="241"/>
      <c r="J71" s="241"/>
      <c r="K71" s="241"/>
      <c r="L71" s="241"/>
      <c r="M71" s="241"/>
      <c r="N71" s="241"/>
      <c r="O71" s="241"/>
      <c r="P71" s="241"/>
      <c r="Q71" s="241"/>
      <c r="R71" s="241"/>
      <c r="S71" s="241"/>
      <c r="T71" s="241"/>
      <c r="U71" s="241"/>
      <c r="V71" s="241"/>
      <c r="W71" s="241"/>
    </row>
    <row r="73" spans="2:23">
      <c r="B73" s="200" t="s">
        <v>351</v>
      </c>
    </row>
    <row r="74" spans="2:23">
      <c r="B74" s="200"/>
    </row>
    <row r="75" spans="2:23">
      <c r="J75" s="226"/>
      <c r="M75" s="226"/>
      <c r="N75" s="226"/>
      <c r="R75" s="1"/>
      <c r="W75" s="231" t="s">
        <v>56</v>
      </c>
    </row>
    <row r="76" spans="2:23" ht="32.25" customHeight="1">
      <c r="B76" s="1030" t="s">
        <v>2</v>
      </c>
      <c r="C76" s="1030" t="s">
        <v>57</v>
      </c>
      <c r="D76" s="1030" t="s">
        <v>58</v>
      </c>
      <c r="E76" s="1030"/>
      <c r="F76" s="1030"/>
      <c r="G76" s="1030"/>
      <c r="H76" s="1030"/>
      <c r="I76" s="1030" t="s">
        <v>59</v>
      </c>
      <c r="J76" s="1030"/>
      <c r="K76" s="1030"/>
      <c r="L76" s="1030"/>
      <c r="M76" s="1030"/>
      <c r="N76" s="1030" t="s">
        <v>60</v>
      </c>
      <c r="O76" s="1030"/>
      <c r="P76" s="1030"/>
      <c r="Q76" s="1030"/>
      <c r="R76" s="1030"/>
      <c r="S76" s="1030" t="s">
        <v>70</v>
      </c>
      <c r="T76" s="1030"/>
      <c r="U76" s="1030"/>
      <c r="V76" s="1030"/>
      <c r="W76" s="1030"/>
    </row>
    <row r="77" spans="2:23" ht="15" customHeight="1">
      <c r="B77" s="1030"/>
      <c r="C77" s="1030"/>
      <c r="D77" s="1030" t="s">
        <v>267</v>
      </c>
      <c r="E77" s="1034"/>
      <c r="F77" s="1034"/>
      <c r="G77" s="1034"/>
      <c r="H77" s="1034"/>
      <c r="I77" s="1030" t="s">
        <v>267</v>
      </c>
      <c r="J77" s="1034"/>
      <c r="K77" s="1034"/>
      <c r="L77" s="1034"/>
      <c r="M77" s="1034"/>
      <c r="N77" s="1030" t="s">
        <v>295</v>
      </c>
      <c r="O77" s="1034"/>
      <c r="P77" s="1034"/>
      <c r="Q77" s="1034"/>
      <c r="R77" s="1034"/>
      <c r="S77" s="1030" t="s">
        <v>86</v>
      </c>
      <c r="T77" s="1034"/>
      <c r="U77" s="1034"/>
      <c r="V77" s="1034"/>
      <c r="W77" s="1034"/>
    </row>
    <row r="78" spans="2:23" ht="42.75">
      <c r="B78" s="1030"/>
      <c r="C78" s="1030"/>
      <c r="D78" s="213" t="s">
        <v>314</v>
      </c>
      <c r="E78" s="213" t="s">
        <v>315</v>
      </c>
      <c r="F78" s="214" t="s">
        <v>347</v>
      </c>
      <c r="G78" s="213" t="s">
        <v>353</v>
      </c>
      <c r="H78" s="213" t="s">
        <v>317</v>
      </c>
      <c r="I78" s="213" t="s">
        <v>314</v>
      </c>
      <c r="J78" s="213" t="s">
        <v>315</v>
      </c>
      <c r="K78" s="214" t="s">
        <v>347</v>
      </c>
      <c r="L78" s="213" t="s">
        <v>353</v>
      </c>
      <c r="M78" s="213" t="s">
        <v>317</v>
      </c>
      <c r="N78" s="213" t="s">
        <v>314</v>
      </c>
      <c r="O78" s="213" t="s">
        <v>315</v>
      </c>
      <c r="P78" s="214" t="s">
        <v>347</v>
      </c>
      <c r="Q78" s="213" t="s">
        <v>353</v>
      </c>
      <c r="R78" s="213" t="s">
        <v>317</v>
      </c>
      <c r="S78" s="213" t="s">
        <v>314</v>
      </c>
      <c r="T78" s="213" t="s">
        <v>315</v>
      </c>
      <c r="U78" s="214" t="s">
        <v>347</v>
      </c>
      <c r="V78" s="213" t="s">
        <v>353</v>
      </c>
      <c r="W78" s="213" t="s">
        <v>317</v>
      </c>
    </row>
    <row r="79" spans="2:23" ht="28.5">
      <c r="B79" s="198"/>
      <c r="C79" s="198"/>
      <c r="D79" s="198" t="s">
        <v>75</v>
      </c>
      <c r="E79" s="198" t="s">
        <v>76</v>
      </c>
      <c r="F79" s="198" t="s">
        <v>116</v>
      </c>
      <c r="G79" s="198" t="s">
        <v>78</v>
      </c>
      <c r="H79" s="198" t="s">
        <v>354</v>
      </c>
      <c r="I79" s="198" t="s">
        <v>319</v>
      </c>
      <c r="J79" s="198" t="s">
        <v>81</v>
      </c>
      <c r="K79" s="198" t="s">
        <v>82</v>
      </c>
      <c r="L79" s="198" t="s">
        <v>321</v>
      </c>
      <c r="M79" s="198" t="s">
        <v>355</v>
      </c>
      <c r="N79" s="198" t="s">
        <v>324</v>
      </c>
      <c r="O79" s="198" t="s">
        <v>325</v>
      </c>
      <c r="P79" s="198" t="s">
        <v>328</v>
      </c>
      <c r="Q79" s="198" t="s">
        <v>329</v>
      </c>
      <c r="R79" s="198" t="s">
        <v>356</v>
      </c>
      <c r="S79" s="198" t="s">
        <v>332</v>
      </c>
      <c r="T79" s="198" t="s">
        <v>333</v>
      </c>
      <c r="U79" s="198" t="s">
        <v>334</v>
      </c>
      <c r="V79" s="198" t="s">
        <v>336</v>
      </c>
      <c r="W79" s="198" t="s">
        <v>357</v>
      </c>
    </row>
    <row r="80" spans="2:23">
      <c r="B80" s="272"/>
      <c r="C80" s="273"/>
      <c r="D80" s="273"/>
      <c r="E80" s="273"/>
      <c r="F80" s="273"/>
      <c r="G80" s="322"/>
      <c r="H80" s="273"/>
      <c r="I80" s="204"/>
      <c r="J80" s="204"/>
      <c r="K80" s="204"/>
      <c r="L80" s="322"/>
      <c r="M80" s="204"/>
      <c r="N80" s="204"/>
      <c r="O80" s="204"/>
      <c r="P80" s="204"/>
      <c r="Q80" s="322"/>
      <c r="R80" s="204"/>
      <c r="S80" s="204"/>
      <c r="T80" s="204"/>
      <c r="U80" s="204"/>
      <c r="V80" s="322"/>
      <c r="W80" s="204"/>
    </row>
    <row r="81" spans="2:38">
      <c r="B81" s="272"/>
      <c r="C81" s="273"/>
      <c r="D81" s="273"/>
      <c r="E81" s="273"/>
      <c r="F81" s="273"/>
      <c r="G81" s="322"/>
      <c r="H81" s="273"/>
      <c r="I81" s="204"/>
      <c r="J81" s="204"/>
      <c r="K81" s="204"/>
      <c r="L81" s="322"/>
      <c r="M81" s="204"/>
      <c r="N81" s="204"/>
      <c r="O81" s="204"/>
      <c r="P81" s="204"/>
      <c r="Q81" s="322"/>
      <c r="R81" s="204"/>
      <c r="S81" s="204"/>
      <c r="T81" s="204"/>
      <c r="U81" s="204"/>
      <c r="V81" s="322"/>
      <c r="W81" s="204"/>
    </row>
    <row r="82" spans="2:38">
      <c r="B82" s="272"/>
      <c r="C82" s="273"/>
      <c r="D82" s="273"/>
      <c r="E82" s="273"/>
      <c r="F82" s="273"/>
      <c r="G82" s="323"/>
      <c r="H82" s="273"/>
      <c r="I82" s="204"/>
      <c r="J82" s="204"/>
      <c r="K82" s="204"/>
      <c r="L82" s="323"/>
      <c r="M82" s="204"/>
      <c r="N82" s="204"/>
      <c r="O82" s="204"/>
      <c r="P82" s="204"/>
      <c r="Q82" s="323"/>
      <c r="R82" s="204"/>
      <c r="S82" s="204"/>
      <c r="T82" s="204"/>
      <c r="U82" s="204"/>
      <c r="V82" s="323"/>
      <c r="W82" s="204"/>
    </row>
    <row r="83" spans="2:38">
      <c r="B83" s="272"/>
      <c r="C83" s="273"/>
      <c r="D83" s="273"/>
      <c r="E83" s="273"/>
      <c r="F83" s="273"/>
      <c r="G83" s="322"/>
      <c r="H83" s="273"/>
      <c r="I83" s="204"/>
      <c r="J83" s="204"/>
      <c r="K83" s="204"/>
      <c r="L83" s="322"/>
      <c r="M83" s="204"/>
      <c r="N83" s="204"/>
      <c r="O83" s="204"/>
      <c r="P83" s="204"/>
      <c r="Q83" s="322"/>
      <c r="R83" s="204"/>
      <c r="S83" s="204"/>
      <c r="T83" s="204"/>
      <c r="U83" s="204"/>
      <c r="V83" s="322"/>
      <c r="W83" s="204"/>
    </row>
    <row r="84" spans="2:38">
      <c r="B84" s="272"/>
      <c r="C84" s="273"/>
      <c r="D84" s="273"/>
      <c r="E84" s="273"/>
      <c r="F84" s="273"/>
      <c r="G84" s="322"/>
      <c r="H84" s="273"/>
      <c r="I84" s="204"/>
      <c r="J84" s="204"/>
      <c r="K84" s="204"/>
      <c r="L84" s="322"/>
      <c r="M84" s="204"/>
      <c r="N84" s="204"/>
      <c r="O84" s="204"/>
      <c r="P84" s="204"/>
      <c r="Q84" s="322"/>
      <c r="R84" s="204"/>
      <c r="S84" s="204"/>
      <c r="T84" s="204"/>
      <c r="U84" s="204"/>
      <c r="V84" s="322"/>
      <c r="W84" s="204"/>
    </row>
    <row r="85" spans="2:38">
      <c r="B85" s="204"/>
      <c r="C85" s="274"/>
      <c r="D85" s="274"/>
      <c r="E85" s="274"/>
      <c r="F85" s="274"/>
      <c r="G85" s="322"/>
      <c r="H85" s="274"/>
      <c r="I85" s="204"/>
      <c r="J85" s="275"/>
      <c r="K85" s="275"/>
      <c r="L85" s="322"/>
      <c r="M85" s="204"/>
      <c r="N85" s="204"/>
      <c r="O85" s="275"/>
      <c r="P85" s="275"/>
      <c r="Q85" s="322"/>
      <c r="R85" s="204"/>
      <c r="S85" s="204"/>
      <c r="T85" s="204"/>
      <c r="U85" s="204"/>
      <c r="V85" s="322"/>
      <c r="W85" s="204"/>
    </row>
    <row r="86" spans="2:38" ht="18">
      <c r="B86" s="276"/>
      <c r="C86" s="239" t="s">
        <v>235</v>
      </c>
      <c r="D86" s="239"/>
      <c r="E86" s="239"/>
      <c r="F86" s="239"/>
      <c r="G86" s="324"/>
      <c r="H86" s="239"/>
      <c r="I86" s="276"/>
      <c r="J86" s="276"/>
      <c r="K86" s="276"/>
      <c r="L86" s="324"/>
      <c r="M86" s="276"/>
      <c r="N86" s="276"/>
      <c r="O86" s="276"/>
      <c r="P86" s="276"/>
      <c r="Q86" s="324"/>
      <c r="R86" s="276"/>
      <c r="S86" s="204"/>
      <c r="T86" s="275"/>
      <c r="U86" s="275"/>
      <c r="V86" s="324"/>
      <c r="W86" s="204"/>
    </row>
    <row r="87" spans="2:38" ht="18">
      <c r="B87" s="241"/>
      <c r="C87" s="278"/>
      <c r="D87" s="278"/>
      <c r="E87" s="278"/>
      <c r="F87" s="278"/>
      <c r="G87" s="278"/>
      <c r="H87" s="278"/>
      <c r="I87" s="241"/>
      <c r="J87" s="241"/>
      <c r="K87" s="241"/>
      <c r="L87" s="241"/>
      <c r="M87" s="241"/>
      <c r="N87" s="241"/>
      <c r="O87" s="241"/>
      <c r="P87" s="241"/>
      <c r="Q87" s="241"/>
      <c r="R87" s="241"/>
      <c r="T87" s="279"/>
      <c r="U87" s="279"/>
      <c r="V87" s="279"/>
    </row>
    <row r="88" spans="2:38" ht="18">
      <c r="B88" s="277" t="s">
        <v>360</v>
      </c>
      <c r="C88" s="280"/>
      <c r="D88" s="280"/>
      <c r="E88" s="280"/>
      <c r="F88" s="280"/>
      <c r="G88" s="278"/>
      <c r="H88" s="278"/>
      <c r="I88" s="241"/>
      <c r="J88" s="241"/>
      <c r="K88" s="241"/>
      <c r="L88" s="241"/>
      <c r="M88" s="241"/>
      <c r="N88" s="241"/>
      <c r="O88" s="241"/>
      <c r="P88" s="241"/>
      <c r="Q88" s="241"/>
      <c r="R88" s="241"/>
      <c r="T88" s="279"/>
      <c r="U88" s="279"/>
      <c r="V88" s="279"/>
    </row>
    <row r="89" spans="2:38" ht="18">
      <c r="B89" s="241"/>
      <c r="C89" s="278"/>
      <c r="D89" s="278"/>
      <c r="E89" s="278"/>
      <c r="F89" s="278"/>
      <c r="G89" s="278"/>
      <c r="H89" s="278"/>
      <c r="I89" s="241"/>
      <c r="J89" s="241"/>
      <c r="K89" s="241"/>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row>
    <row r="90" spans="2:38" ht="18">
      <c r="B90" s="241"/>
      <c r="C90" s="278"/>
      <c r="D90" s="278"/>
      <c r="E90" s="278"/>
      <c r="F90" s="278"/>
      <c r="G90" s="278"/>
      <c r="H90" s="278"/>
      <c r="I90" s="241"/>
      <c r="J90" s="241"/>
      <c r="K90" s="241"/>
      <c r="L90" s="241"/>
      <c r="M90" s="241"/>
      <c r="N90" s="241"/>
      <c r="O90" s="241"/>
      <c r="P90" s="241"/>
      <c r="Q90" s="241"/>
      <c r="R90" s="241"/>
      <c r="S90" s="241"/>
      <c r="T90" s="241"/>
      <c r="U90" s="241"/>
      <c r="V90" s="241"/>
      <c r="W90" s="231" t="s">
        <v>56</v>
      </c>
      <c r="X90" s="241"/>
      <c r="Y90" s="241"/>
      <c r="Z90" s="241"/>
      <c r="AA90" s="241"/>
      <c r="AB90" s="241"/>
      <c r="AC90" s="241"/>
      <c r="AD90" s="241"/>
      <c r="AE90" s="241"/>
      <c r="AF90" s="241"/>
      <c r="AG90" s="241"/>
      <c r="AH90" s="241"/>
      <c r="AI90" s="241"/>
      <c r="AJ90" s="241"/>
      <c r="AK90" s="241"/>
      <c r="AL90" s="241"/>
    </row>
    <row r="91" spans="2:38" ht="15" customHeight="1">
      <c r="B91" s="1030" t="s">
        <v>2</v>
      </c>
      <c r="C91" s="1030" t="s">
        <v>57</v>
      </c>
      <c r="D91" s="1030" t="s">
        <v>71</v>
      </c>
      <c r="E91" s="1030"/>
      <c r="F91" s="1030"/>
      <c r="G91" s="1030"/>
      <c r="H91" s="1030"/>
      <c r="I91" s="1030" t="s">
        <v>72</v>
      </c>
      <c r="J91" s="1030"/>
      <c r="K91" s="1030"/>
      <c r="L91" s="1030"/>
      <c r="M91" s="1030"/>
      <c r="N91" s="1030" t="s">
        <v>73</v>
      </c>
      <c r="O91" s="1030"/>
      <c r="P91" s="1030"/>
      <c r="Q91" s="1030"/>
      <c r="R91" s="1030"/>
      <c r="S91" s="1030" t="s">
        <v>74</v>
      </c>
      <c r="T91" s="1030"/>
      <c r="U91" s="1030"/>
      <c r="V91" s="1030"/>
      <c r="W91" s="1030"/>
    </row>
    <row r="92" spans="2:38">
      <c r="B92" s="1030"/>
      <c r="C92" s="1030"/>
      <c r="D92" s="1031" t="s">
        <v>86</v>
      </c>
      <c r="E92" s="1032"/>
      <c r="F92" s="1032"/>
      <c r="G92" s="1032"/>
      <c r="H92" s="1032"/>
      <c r="I92" s="1031" t="s">
        <v>86</v>
      </c>
      <c r="J92" s="1032"/>
      <c r="K92" s="1032"/>
      <c r="L92" s="1032"/>
      <c r="M92" s="1032"/>
      <c r="N92" s="1031" t="s">
        <v>86</v>
      </c>
      <c r="O92" s="1032"/>
      <c r="P92" s="1032"/>
      <c r="Q92" s="1032"/>
      <c r="R92" s="1032"/>
      <c r="S92" s="1031" t="s">
        <v>86</v>
      </c>
      <c r="T92" s="1032"/>
      <c r="U92" s="1032"/>
      <c r="V92" s="1032"/>
      <c r="W92" s="1032"/>
    </row>
    <row r="93" spans="2:38" ht="42.75">
      <c r="B93" s="1030"/>
      <c r="C93" s="1030"/>
      <c r="D93" s="213" t="s">
        <v>314</v>
      </c>
      <c r="E93" s="213" t="s">
        <v>315</v>
      </c>
      <c r="F93" s="214" t="s">
        <v>347</v>
      </c>
      <c r="G93" s="213" t="s">
        <v>353</v>
      </c>
      <c r="H93" s="213" t="s">
        <v>317</v>
      </c>
      <c r="I93" s="213" t="s">
        <v>314</v>
      </c>
      <c r="J93" s="213" t="s">
        <v>315</v>
      </c>
      <c r="K93" s="214" t="s">
        <v>347</v>
      </c>
      <c r="L93" s="213" t="s">
        <v>353</v>
      </c>
      <c r="M93" s="213" t="s">
        <v>317</v>
      </c>
      <c r="N93" s="213" t="s">
        <v>314</v>
      </c>
      <c r="O93" s="213" t="s">
        <v>315</v>
      </c>
      <c r="P93" s="214" t="s">
        <v>347</v>
      </c>
      <c r="Q93" s="213" t="s">
        <v>353</v>
      </c>
      <c r="R93" s="213" t="s">
        <v>317</v>
      </c>
      <c r="S93" s="213" t="s">
        <v>314</v>
      </c>
      <c r="T93" s="213" t="s">
        <v>315</v>
      </c>
      <c r="U93" s="214" t="s">
        <v>347</v>
      </c>
      <c r="V93" s="213" t="s">
        <v>353</v>
      </c>
      <c r="W93" s="213" t="s">
        <v>317</v>
      </c>
    </row>
    <row r="94" spans="2:38" ht="28.5">
      <c r="B94" s="198"/>
      <c r="C94" s="198"/>
      <c r="D94" s="198" t="s">
        <v>75</v>
      </c>
      <c r="E94" s="198" t="s">
        <v>76</v>
      </c>
      <c r="F94" s="198" t="s">
        <v>116</v>
      </c>
      <c r="G94" s="198" t="s">
        <v>78</v>
      </c>
      <c r="H94" s="198" t="s">
        <v>354</v>
      </c>
      <c r="I94" s="198" t="s">
        <v>319</v>
      </c>
      <c r="J94" s="198" t="s">
        <v>81</v>
      </c>
      <c r="K94" s="198" t="s">
        <v>82</v>
      </c>
      <c r="L94" s="198" t="s">
        <v>321</v>
      </c>
      <c r="M94" s="198" t="s">
        <v>355</v>
      </c>
      <c r="N94" s="198" t="s">
        <v>324</v>
      </c>
      <c r="O94" s="198" t="s">
        <v>325</v>
      </c>
      <c r="P94" s="198" t="s">
        <v>328</v>
      </c>
      <c r="Q94" s="198" t="s">
        <v>329</v>
      </c>
      <c r="R94" s="198" t="s">
        <v>356</v>
      </c>
      <c r="S94" s="198" t="s">
        <v>332</v>
      </c>
      <c r="T94" s="198" t="s">
        <v>333</v>
      </c>
      <c r="U94" s="198" t="s">
        <v>334</v>
      </c>
      <c r="V94" s="198" t="s">
        <v>336</v>
      </c>
      <c r="W94" s="198" t="s">
        <v>357</v>
      </c>
    </row>
    <row r="95" spans="2:38">
      <c r="B95" s="272"/>
      <c r="C95" s="273"/>
      <c r="D95" s="273"/>
      <c r="E95" s="273"/>
      <c r="F95" s="273"/>
      <c r="G95" s="322"/>
      <c r="H95" s="273"/>
      <c r="I95" s="204"/>
      <c r="J95" s="204"/>
      <c r="K95" s="204"/>
      <c r="L95" s="322"/>
      <c r="M95" s="204"/>
      <c r="N95" s="204"/>
      <c r="O95" s="204"/>
      <c r="P95" s="204"/>
      <c r="Q95" s="322"/>
      <c r="R95" s="204"/>
      <c r="S95" s="204"/>
      <c r="T95" s="204"/>
      <c r="U95" s="204"/>
      <c r="V95" s="322"/>
      <c r="W95" s="204"/>
    </row>
    <row r="96" spans="2:38">
      <c r="B96" s="272"/>
      <c r="C96" s="273"/>
      <c r="D96" s="273"/>
      <c r="E96" s="273"/>
      <c r="F96" s="273"/>
      <c r="G96" s="322"/>
      <c r="H96" s="273"/>
      <c r="I96" s="204"/>
      <c r="J96" s="204"/>
      <c r="K96" s="204"/>
      <c r="L96" s="322"/>
      <c r="M96" s="204"/>
      <c r="N96" s="204"/>
      <c r="O96" s="204"/>
      <c r="P96" s="204"/>
      <c r="Q96" s="322"/>
      <c r="R96" s="204"/>
      <c r="S96" s="204"/>
      <c r="T96" s="204"/>
      <c r="U96" s="204"/>
      <c r="V96" s="322"/>
      <c r="W96" s="204"/>
    </row>
    <row r="97" spans="2:23">
      <c r="B97" s="272"/>
      <c r="C97" s="273"/>
      <c r="D97" s="273"/>
      <c r="E97" s="273"/>
      <c r="F97" s="273"/>
      <c r="G97" s="323"/>
      <c r="H97" s="273"/>
      <c r="I97" s="204"/>
      <c r="J97" s="204"/>
      <c r="K97" s="204"/>
      <c r="L97" s="323"/>
      <c r="M97" s="204"/>
      <c r="N97" s="204"/>
      <c r="O97" s="204"/>
      <c r="P97" s="204"/>
      <c r="Q97" s="323"/>
      <c r="R97" s="204"/>
      <c r="S97" s="204"/>
      <c r="T97" s="204"/>
      <c r="U97" s="204"/>
      <c r="V97" s="323"/>
      <c r="W97" s="204"/>
    </row>
    <row r="98" spans="2:23">
      <c r="B98" s="272"/>
      <c r="C98" s="273"/>
      <c r="D98" s="273"/>
      <c r="E98" s="273"/>
      <c r="F98" s="273"/>
      <c r="G98" s="322"/>
      <c r="H98" s="273"/>
      <c r="I98" s="204"/>
      <c r="J98" s="204"/>
      <c r="K98" s="204"/>
      <c r="L98" s="322"/>
      <c r="M98" s="204"/>
      <c r="N98" s="204"/>
      <c r="O98" s="204"/>
      <c r="P98" s="204"/>
      <c r="Q98" s="322"/>
      <c r="R98" s="204"/>
      <c r="S98" s="204"/>
      <c r="T98" s="204"/>
      <c r="U98" s="204"/>
      <c r="V98" s="322"/>
      <c r="W98" s="204"/>
    </row>
    <row r="99" spans="2:23">
      <c r="B99" s="272"/>
      <c r="C99" s="273"/>
      <c r="D99" s="273"/>
      <c r="E99" s="273"/>
      <c r="F99" s="273"/>
      <c r="G99" s="322"/>
      <c r="H99" s="273"/>
      <c r="I99" s="204"/>
      <c r="J99" s="204"/>
      <c r="K99" s="204"/>
      <c r="L99" s="322"/>
      <c r="M99" s="204"/>
      <c r="N99" s="204"/>
      <c r="O99" s="204"/>
      <c r="P99" s="204"/>
      <c r="Q99" s="322"/>
      <c r="R99" s="204"/>
      <c r="S99" s="204"/>
      <c r="T99" s="204"/>
      <c r="U99" s="204"/>
      <c r="V99" s="322"/>
      <c r="W99" s="204"/>
    </row>
    <row r="100" spans="2:23">
      <c r="B100" s="204"/>
      <c r="C100" s="274"/>
      <c r="D100" s="274"/>
      <c r="E100" s="274"/>
      <c r="F100" s="274"/>
      <c r="G100" s="322"/>
      <c r="H100" s="274"/>
      <c r="I100" s="204"/>
      <c r="J100" s="275"/>
      <c r="K100" s="275"/>
      <c r="L100" s="322"/>
      <c r="M100" s="204"/>
      <c r="N100" s="204"/>
      <c r="O100" s="275"/>
      <c r="P100" s="275"/>
      <c r="Q100" s="322"/>
      <c r="R100" s="204"/>
      <c r="S100" s="204"/>
      <c r="T100" s="275"/>
      <c r="U100" s="275"/>
      <c r="V100" s="322"/>
      <c r="W100" s="204"/>
    </row>
    <row r="101" spans="2:23" ht="18">
      <c r="B101" s="276"/>
      <c r="C101" s="239" t="s">
        <v>235</v>
      </c>
      <c r="D101" s="239"/>
      <c r="E101" s="239"/>
      <c r="F101" s="239"/>
      <c r="G101" s="324"/>
      <c r="H101" s="239"/>
      <c r="I101" s="276"/>
      <c r="J101" s="276"/>
      <c r="K101" s="276"/>
      <c r="L101" s="324"/>
      <c r="M101" s="276"/>
      <c r="N101" s="276"/>
      <c r="O101" s="276"/>
      <c r="P101" s="276"/>
      <c r="Q101" s="324"/>
      <c r="R101" s="276"/>
      <c r="S101" s="276"/>
      <c r="T101" s="276"/>
      <c r="U101" s="276"/>
      <c r="V101" s="324"/>
      <c r="W101" s="276"/>
    </row>
  </sheetData>
  <mergeCells count="60">
    <mergeCell ref="B91:B93"/>
    <mergeCell ref="C91:C93"/>
    <mergeCell ref="D91:H91"/>
    <mergeCell ref="I91:M91"/>
    <mergeCell ref="N91:R91"/>
    <mergeCell ref="S91:W91"/>
    <mergeCell ref="D92:H92"/>
    <mergeCell ref="I92:M92"/>
    <mergeCell ref="N92:R92"/>
    <mergeCell ref="S92:W92"/>
    <mergeCell ref="B76:B78"/>
    <mergeCell ref="C76:C78"/>
    <mergeCell ref="D76:H76"/>
    <mergeCell ref="I76:M76"/>
    <mergeCell ref="N76:R76"/>
    <mergeCell ref="S76:W76"/>
    <mergeCell ref="D77:H77"/>
    <mergeCell ref="I77:M77"/>
    <mergeCell ref="N77:R77"/>
    <mergeCell ref="S77:W77"/>
    <mergeCell ref="B60:B62"/>
    <mergeCell ref="C60:C62"/>
    <mergeCell ref="D60:H60"/>
    <mergeCell ref="I60:M60"/>
    <mergeCell ref="N60:R60"/>
    <mergeCell ref="S60:W60"/>
    <mergeCell ref="D61:H61"/>
    <mergeCell ref="I61:M61"/>
    <mergeCell ref="N61:R61"/>
    <mergeCell ref="S61:W61"/>
    <mergeCell ref="B44:B46"/>
    <mergeCell ref="C44:C46"/>
    <mergeCell ref="D44:H44"/>
    <mergeCell ref="I44:M44"/>
    <mergeCell ref="N44:R44"/>
    <mergeCell ref="S44:W44"/>
    <mergeCell ref="D45:H45"/>
    <mergeCell ref="I45:M45"/>
    <mergeCell ref="N45:R45"/>
    <mergeCell ref="S45:W45"/>
    <mergeCell ref="B26:B28"/>
    <mergeCell ref="C26:C28"/>
    <mergeCell ref="D26:H26"/>
    <mergeCell ref="I26:M26"/>
    <mergeCell ref="N26:R26"/>
    <mergeCell ref="S26:W26"/>
    <mergeCell ref="D27:H27"/>
    <mergeCell ref="I27:M27"/>
    <mergeCell ref="N27:R27"/>
    <mergeCell ref="S27:W27"/>
    <mergeCell ref="B10:B12"/>
    <mergeCell ref="C10:C12"/>
    <mergeCell ref="D10:H10"/>
    <mergeCell ref="I10:M10"/>
    <mergeCell ref="N10:R10"/>
    <mergeCell ref="S10:W10"/>
    <mergeCell ref="D11:H11"/>
    <mergeCell ref="I11:M11"/>
    <mergeCell ref="N11:R11"/>
    <mergeCell ref="S11:W11"/>
  </mergeCells>
  <pageMargins left="0.7" right="0.7" top="0.75" bottom="0.75" header="0.3" footer="0.3"/>
  <pageSetup scale="29" fitToHeight="0" pageOrder="overThenDown" orientation="landscape" r:id="rId1"/>
  <rowBreaks count="1" manualBreakCount="1">
    <brk id="71" min="1" max="22" man="1"/>
  </rowBreaks>
</worksheet>
</file>

<file path=xl/worksheets/sheet18.xml><?xml version="1.0" encoding="utf-8"?>
<worksheet xmlns="http://schemas.openxmlformats.org/spreadsheetml/2006/main" xmlns:r="http://schemas.openxmlformats.org/officeDocument/2006/relationships">
  <sheetPr>
    <pageSetUpPr fitToPage="1"/>
  </sheetPr>
  <dimension ref="A1:AL64"/>
  <sheetViews>
    <sheetView view="pageBreakPreview" zoomScale="70" zoomScaleNormal="55" zoomScaleSheetLayoutView="70" workbookViewId="0">
      <selection activeCell="O42" sqref="O42"/>
    </sheetView>
  </sheetViews>
  <sheetFormatPr defaultColWidth="9.28515625" defaultRowHeight="15"/>
  <cols>
    <col min="1" max="1" width="4.28515625" style="201" customWidth="1"/>
    <col min="2" max="2" width="6.28515625" style="201" customWidth="1"/>
    <col min="3" max="3" width="30.28515625" style="201" customWidth="1"/>
    <col min="4" max="4" width="18.7109375" style="201" customWidth="1"/>
    <col min="5" max="5" width="20.7109375" style="201" customWidth="1"/>
    <col min="6" max="27" width="18.7109375" style="201" customWidth="1"/>
    <col min="28" max="28" width="21" style="201" customWidth="1"/>
    <col min="29" max="16384" width="9.28515625" style="201"/>
  </cols>
  <sheetData>
    <row r="1" spans="1:30">
      <c r="B1" s="200"/>
    </row>
    <row r="2" spans="1:30">
      <c r="B2" s="230"/>
      <c r="D2" s="319"/>
      <c r="E2" s="319"/>
      <c r="F2" s="81" t="s">
        <v>0</v>
      </c>
      <c r="G2" s="318"/>
      <c r="H2" s="319"/>
      <c r="I2" s="319"/>
      <c r="J2" s="319"/>
      <c r="K2" s="319"/>
      <c r="L2" s="319"/>
      <c r="M2" s="319"/>
      <c r="N2" s="319"/>
      <c r="O2" s="319"/>
      <c r="P2" s="319"/>
      <c r="Q2" s="319"/>
      <c r="R2" s="319"/>
      <c r="S2" s="319"/>
      <c r="T2" s="319"/>
      <c r="U2" s="81"/>
      <c r="V2" s="318"/>
      <c r="W2" s="319"/>
    </row>
    <row r="3" spans="1:30">
      <c r="B3" s="230"/>
      <c r="D3" s="320"/>
      <c r="E3" s="320"/>
      <c r="F3" s="88" t="s">
        <v>1</v>
      </c>
      <c r="G3" s="318"/>
      <c r="H3" s="320"/>
      <c r="I3" s="320"/>
      <c r="J3" s="320"/>
      <c r="K3" s="320"/>
      <c r="L3" s="320"/>
      <c r="M3" s="320"/>
      <c r="N3" s="320"/>
      <c r="O3" s="320"/>
      <c r="P3" s="320"/>
      <c r="Q3" s="320"/>
      <c r="R3" s="320"/>
      <c r="S3" s="320"/>
      <c r="T3" s="320"/>
      <c r="U3" s="88"/>
      <c r="V3" s="318"/>
      <c r="W3" s="320"/>
    </row>
    <row r="4" spans="1:30">
      <c r="B4" s="319"/>
      <c r="D4" s="319"/>
      <c r="E4" s="230"/>
      <c r="F4" s="81" t="s">
        <v>361</v>
      </c>
      <c r="G4" s="227"/>
      <c r="H4" s="230"/>
      <c r="I4" s="230"/>
      <c r="J4" s="319"/>
      <c r="K4" s="319"/>
      <c r="L4" s="319"/>
      <c r="M4" s="319"/>
      <c r="N4" s="319"/>
      <c r="O4" s="319"/>
      <c r="P4" s="319"/>
      <c r="Q4" s="319"/>
      <c r="R4" s="319"/>
      <c r="S4" s="319"/>
      <c r="T4" s="230"/>
      <c r="U4" s="81"/>
      <c r="V4" s="227"/>
      <c r="W4" s="230"/>
    </row>
    <row r="5" spans="1:30">
      <c r="C5" s="200"/>
      <c r="E5" s="226"/>
      <c r="H5" s="226"/>
      <c r="I5" s="226"/>
    </row>
    <row r="6" spans="1:30">
      <c r="C6" s="200"/>
      <c r="E6" s="226"/>
      <c r="H6" s="226"/>
      <c r="I6" s="226"/>
    </row>
    <row r="7" spans="1:30">
      <c r="C7" s="200"/>
      <c r="E7" s="226"/>
      <c r="H7" s="226"/>
      <c r="I7" s="226"/>
    </row>
    <row r="8" spans="1:30">
      <c r="A8" s="201" t="s">
        <v>312</v>
      </c>
      <c r="B8" s="200" t="s">
        <v>313</v>
      </c>
      <c r="C8" s="200"/>
      <c r="D8" s="200"/>
      <c r="E8" s="200"/>
      <c r="F8" s="200"/>
      <c r="G8" s="200"/>
      <c r="H8" s="200"/>
      <c r="J8" s="226"/>
      <c r="M8" s="226"/>
      <c r="N8" s="226"/>
      <c r="R8" s="1"/>
    </row>
    <row r="9" spans="1:30">
      <c r="B9" s="271"/>
      <c r="C9" s="230"/>
      <c r="D9" s="230" t="s">
        <v>1554</v>
      </c>
      <c r="E9" s="230"/>
      <c r="F9" s="230"/>
      <c r="G9" s="230"/>
      <c r="H9" s="230"/>
      <c r="J9" s="226"/>
      <c r="M9" s="226"/>
      <c r="N9" s="226"/>
      <c r="R9" s="1"/>
      <c r="W9" s="231" t="s">
        <v>56</v>
      </c>
      <c r="AA9" s="231" t="s">
        <v>56</v>
      </c>
    </row>
    <row r="10" spans="1:30" ht="15.75" customHeight="1">
      <c r="B10" s="1030" t="s">
        <v>2</v>
      </c>
      <c r="C10" s="1030" t="s">
        <v>57</v>
      </c>
      <c r="D10" s="1030" t="s">
        <v>70</v>
      </c>
      <c r="E10" s="1030"/>
      <c r="F10" s="1030"/>
      <c r="G10" s="1030"/>
      <c r="H10" s="1030"/>
      <c r="I10" s="1030" t="s">
        <v>71</v>
      </c>
      <c r="J10" s="1030"/>
      <c r="K10" s="1030"/>
      <c r="L10" s="1030"/>
      <c r="M10" s="1030"/>
      <c r="N10" s="1030" t="s">
        <v>72</v>
      </c>
      <c r="O10" s="1030"/>
      <c r="P10" s="1030"/>
      <c r="Q10" s="1030"/>
      <c r="R10" s="1030"/>
      <c r="S10" s="1030" t="s">
        <v>73</v>
      </c>
      <c r="T10" s="1030"/>
      <c r="U10" s="1030"/>
      <c r="V10" s="1030"/>
      <c r="W10" s="1030"/>
      <c r="X10" s="1030" t="s">
        <v>74</v>
      </c>
      <c r="Y10" s="1030"/>
      <c r="Z10" s="1030"/>
      <c r="AA10" s="1030"/>
      <c r="AB10" s="1030"/>
    </row>
    <row r="11" spans="1:30" ht="15.75" customHeight="1">
      <c r="B11" s="1030"/>
      <c r="C11" s="1030"/>
      <c r="D11" s="1031" t="s">
        <v>86</v>
      </c>
      <c r="E11" s="1033"/>
      <c r="F11" s="1033"/>
      <c r="G11" s="1033"/>
      <c r="H11" s="1033"/>
      <c r="I11" s="1031" t="s">
        <v>86</v>
      </c>
      <c r="J11" s="1032"/>
      <c r="K11" s="1032"/>
      <c r="L11" s="1032"/>
      <c r="M11" s="1032"/>
      <c r="N11" s="1031" t="s">
        <v>86</v>
      </c>
      <c r="O11" s="1032"/>
      <c r="P11" s="1032"/>
      <c r="Q11" s="1032"/>
      <c r="R11" s="1032"/>
      <c r="S11" s="1031" t="s">
        <v>86</v>
      </c>
      <c r="T11" s="1032"/>
      <c r="U11" s="1032"/>
      <c r="V11" s="1032"/>
      <c r="W11" s="1032"/>
      <c r="X11" s="1031" t="s">
        <v>86</v>
      </c>
      <c r="Y11" s="1032"/>
      <c r="Z11" s="1032"/>
      <c r="AA11" s="1032"/>
      <c r="AB11" s="1032"/>
    </row>
    <row r="12" spans="1:30" ht="42.75">
      <c r="B12" s="1030"/>
      <c r="C12" s="1030"/>
      <c r="D12" s="213" t="s">
        <v>314</v>
      </c>
      <c r="E12" s="213" t="s">
        <v>315</v>
      </c>
      <c r="F12" s="213" t="s">
        <v>316</v>
      </c>
      <c r="G12" s="213" t="s">
        <v>353</v>
      </c>
      <c r="H12" s="213" t="s">
        <v>317</v>
      </c>
      <c r="I12" s="213" t="s">
        <v>314</v>
      </c>
      <c r="J12" s="213" t="s">
        <v>315</v>
      </c>
      <c r="K12" s="213" t="s">
        <v>316</v>
      </c>
      <c r="L12" s="213" t="s">
        <v>353</v>
      </c>
      <c r="M12" s="213" t="s">
        <v>317</v>
      </c>
      <c r="N12" s="213" t="s">
        <v>314</v>
      </c>
      <c r="O12" s="213" t="s">
        <v>315</v>
      </c>
      <c r="P12" s="213" t="s">
        <v>316</v>
      </c>
      <c r="Q12" s="213" t="s">
        <v>353</v>
      </c>
      <c r="R12" s="213" t="s">
        <v>317</v>
      </c>
      <c r="S12" s="213" t="s">
        <v>314</v>
      </c>
      <c r="T12" s="213" t="s">
        <v>315</v>
      </c>
      <c r="U12" s="213" t="s">
        <v>316</v>
      </c>
      <c r="V12" s="213" t="s">
        <v>353</v>
      </c>
      <c r="W12" s="213" t="s">
        <v>317</v>
      </c>
      <c r="X12" s="213" t="s">
        <v>314</v>
      </c>
      <c r="Y12" s="213" t="s">
        <v>315</v>
      </c>
      <c r="Z12" s="213" t="s">
        <v>316</v>
      </c>
      <c r="AA12" s="213" t="s">
        <v>353</v>
      </c>
      <c r="AB12" s="213" t="s">
        <v>317</v>
      </c>
      <c r="AD12" s="603"/>
    </row>
    <row r="13" spans="1:30" s="321" customFormat="1" ht="28.5">
      <c r="B13" s="198"/>
      <c r="C13" s="198"/>
      <c r="D13" s="198" t="s">
        <v>75</v>
      </c>
      <c r="E13" s="198" t="s">
        <v>76</v>
      </c>
      <c r="F13" s="198" t="s">
        <v>116</v>
      </c>
      <c r="G13" s="198" t="s">
        <v>78</v>
      </c>
      <c r="H13" s="198" t="s">
        <v>354</v>
      </c>
      <c r="I13" s="198" t="s">
        <v>319</v>
      </c>
      <c r="J13" s="198" t="s">
        <v>81</v>
      </c>
      <c r="K13" s="198" t="s">
        <v>82</v>
      </c>
      <c r="L13" s="198" t="s">
        <v>321</v>
      </c>
      <c r="M13" s="198" t="s">
        <v>355</v>
      </c>
      <c r="N13" s="198" t="s">
        <v>324</v>
      </c>
      <c r="O13" s="198" t="s">
        <v>325</v>
      </c>
      <c r="P13" s="198" t="s">
        <v>328</v>
      </c>
      <c r="Q13" s="198" t="s">
        <v>329</v>
      </c>
      <c r="R13" s="198" t="s">
        <v>356</v>
      </c>
      <c r="S13" s="198" t="s">
        <v>332</v>
      </c>
      <c r="T13" s="198" t="s">
        <v>333</v>
      </c>
      <c r="U13" s="198" t="s">
        <v>334</v>
      </c>
      <c r="V13" s="198" t="s">
        <v>336</v>
      </c>
      <c r="W13" s="198" t="s">
        <v>357</v>
      </c>
      <c r="X13" s="198" t="s">
        <v>337</v>
      </c>
      <c r="Y13" s="198" t="s">
        <v>338</v>
      </c>
      <c r="Z13" s="198" t="s">
        <v>340</v>
      </c>
      <c r="AA13" s="198" t="s">
        <v>341</v>
      </c>
      <c r="AB13" s="198" t="s">
        <v>362</v>
      </c>
      <c r="AD13" s="643"/>
    </row>
    <row r="14" spans="1:30" s="226" customFormat="1">
      <c r="B14" s="272"/>
      <c r="C14" s="273" t="s">
        <v>1253</v>
      </c>
      <c r="D14" s="633"/>
      <c r="E14" s="633"/>
      <c r="F14" s="633"/>
      <c r="G14" s="634"/>
      <c r="H14" s="633">
        <f>D14+E14-F14</f>
        <v>0</v>
      </c>
      <c r="I14" s="630">
        <f>H14</f>
        <v>0</v>
      </c>
      <c r="J14" s="630"/>
      <c r="K14" s="630"/>
      <c r="L14" s="634"/>
      <c r="M14" s="633">
        <f>I14+J14-K14</f>
        <v>0</v>
      </c>
      <c r="N14" s="630">
        <f>M14</f>
        <v>0</v>
      </c>
      <c r="O14" s="633"/>
      <c r="P14" s="633"/>
      <c r="Q14" s="634"/>
      <c r="R14" s="633">
        <f>N14+O14-P14</f>
        <v>0</v>
      </c>
      <c r="S14" s="630">
        <f>R14</f>
        <v>0</v>
      </c>
      <c r="T14" s="633"/>
      <c r="U14" s="633"/>
      <c r="V14" s="634"/>
      <c r="W14" s="633">
        <f>S14+T14-U14</f>
        <v>0</v>
      </c>
      <c r="X14" s="630">
        <f>W14</f>
        <v>0</v>
      </c>
      <c r="Y14" s="633"/>
      <c r="Z14" s="633"/>
      <c r="AA14" s="634"/>
      <c r="AB14" s="633">
        <f>X14+Y14-Z14</f>
        <v>0</v>
      </c>
      <c r="AD14" s="642"/>
    </row>
    <row r="15" spans="1:30" s="226" customFormat="1">
      <c r="B15" s="272"/>
      <c r="C15" s="273" t="s">
        <v>1254</v>
      </c>
      <c r="D15" s="633"/>
      <c r="E15" s="633">
        <v>0</v>
      </c>
      <c r="F15" s="633"/>
      <c r="G15" s="634"/>
      <c r="H15" s="633">
        <f>D15+E15-F15</f>
        <v>0</v>
      </c>
      <c r="I15" s="630">
        <f t="shared" ref="I15:I23" si="0">H15</f>
        <v>0</v>
      </c>
      <c r="J15" s="930">
        <v>3810</v>
      </c>
      <c r="K15" s="630"/>
      <c r="L15" s="634"/>
      <c r="M15" s="633">
        <f>I15+J15-K15</f>
        <v>3810</v>
      </c>
      <c r="N15" s="630">
        <f t="shared" ref="N15:N23" si="1">M15</f>
        <v>3810</v>
      </c>
      <c r="O15" s="633">
        <v>3010</v>
      </c>
      <c r="P15" s="633"/>
      <c r="Q15" s="634"/>
      <c r="R15" s="633">
        <f>N15+O15-P15</f>
        <v>6820</v>
      </c>
      <c r="S15" s="630">
        <f t="shared" ref="S15:S23" si="2">R15</f>
        <v>6820</v>
      </c>
      <c r="T15" s="633">
        <v>1680</v>
      </c>
      <c r="U15" s="633"/>
      <c r="V15" s="634"/>
      <c r="W15" s="633">
        <f>S15+T15-U15</f>
        <v>8500</v>
      </c>
      <c r="X15" s="630">
        <f t="shared" ref="X15:X23" si="3">W15</f>
        <v>8500</v>
      </c>
      <c r="Y15" s="633">
        <v>10</v>
      </c>
      <c r="Z15" s="633"/>
      <c r="AA15" s="634"/>
      <c r="AB15" s="633">
        <f>X15+Y15-Z15</f>
        <v>8510</v>
      </c>
      <c r="AD15" s="642">
        <v>3.3399999999999999E-2</v>
      </c>
    </row>
    <row r="16" spans="1:30" s="226" customFormat="1">
      <c r="B16" s="272"/>
      <c r="C16" s="237" t="s">
        <v>211</v>
      </c>
      <c r="D16" s="633"/>
      <c r="E16" s="633"/>
      <c r="F16" s="633"/>
      <c r="G16" s="635"/>
      <c r="H16" s="633">
        <f t="shared" ref="H16:H23" si="4">D16+E16-F16</f>
        <v>0</v>
      </c>
      <c r="I16" s="630">
        <f t="shared" si="0"/>
        <v>0</v>
      </c>
      <c r="J16" s="604"/>
      <c r="K16" s="636"/>
      <c r="L16" s="635"/>
      <c r="M16" s="633">
        <f t="shared" ref="M16:M23" si="5">I16+J16-K16</f>
        <v>0</v>
      </c>
      <c r="N16" s="630">
        <f t="shared" si="1"/>
        <v>0</v>
      </c>
      <c r="O16" s="633"/>
      <c r="P16" s="633"/>
      <c r="Q16" s="635"/>
      <c r="R16" s="633">
        <f t="shared" ref="R16:R23" si="6">N16+O16-P16</f>
        <v>0</v>
      </c>
      <c r="S16" s="630">
        <f t="shared" si="2"/>
        <v>0</v>
      </c>
      <c r="T16" s="633"/>
      <c r="U16" s="633"/>
      <c r="V16" s="635"/>
      <c r="W16" s="633">
        <f t="shared" ref="W16:W23" si="7">S16+T16-U16</f>
        <v>0</v>
      </c>
      <c r="X16" s="630">
        <f t="shared" si="3"/>
        <v>0</v>
      </c>
      <c r="Y16" s="633"/>
      <c r="Z16" s="633"/>
      <c r="AA16" s="635"/>
      <c r="AB16" s="633">
        <f t="shared" ref="AB16:AB23" si="8">X16+Y16-Z16</f>
        <v>0</v>
      </c>
      <c r="AD16" s="642"/>
    </row>
    <row r="17" spans="2:30">
      <c r="B17" s="272"/>
      <c r="C17" s="273" t="s">
        <v>1255</v>
      </c>
      <c r="D17" s="633"/>
      <c r="E17" s="633"/>
      <c r="F17" s="633"/>
      <c r="G17" s="634"/>
      <c r="H17" s="633">
        <f t="shared" si="4"/>
        <v>0</v>
      </c>
      <c r="I17" s="630">
        <f t="shared" si="0"/>
        <v>0</v>
      </c>
      <c r="J17" s="630"/>
      <c r="K17" s="630"/>
      <c r="L17" s="634"/>
      <c r="M17" s="633">
        <f t="shared" si="5"/>
        <v>0</v>
      </c>
      <c r="N17" s="630">
        <f t="shared" si="1"/>
        <v>0</v>
      </c>
      <c r="O17" s="633"/>
      <c r="P17" s="633"/>
      <c r="Q17" s="634"/>
      <c r="R17" s="633">
        <f t="shared" si="6"/>
        <v>0</v>
      </c>
      <c r="S17" s="630">
        <f t="shared" si="2"/>
        <v>0</v>
      </c>
      <c r="T17" s="633"/>
      <c r="U17" s="633"/>
      <c r="V17" s="634"/>
      <c r="W17" s="633">
        <f t="shared" si="7"/>
        <v>0</v>
      </c>
      <c r="X17" s="630">
        <f t="shared" si="3"/>
        <v>0</v>
      </c>
      <c r="Y17" s="633"/>
      <c r="Z17" s="633"/>
      <c r="AA17" s="634"/>
      <c r="AB17" s="633">
        <f t="shared" si="8"/>
        <v>0</v>
      </c>
      <c r="AD17" s="603"/>
    </row>
    <row r="18" spans="2:30">
      <c r="B18" s="272"/>
      <c r="C18" s="273" t="s">
        <v>582</v>
      </c>
      <c r="D18" s="633"/>
      <c r="E18" s="633"/>
      <c r="F18" s="633"/>
      <c r="G18" s="634"/>
      <c r="H18" s="633">
        <f t="shared" si="4"/>
        <v>0</v>
      </c>
      <c r="I18" s="630">
        <f t="shared" si="0"/>
        <v>0</v>
      </c>
      <c r="J18" s="630">
        <f ca="1">J23-(J15+J20+J22)</f>
        <v>3081.0553064718806</v>
      </c>
      <c r="K18" s="630"/>
      <c r="L18" s="634"/>
      <c r="M18" s="633">
        <f t="shared" ca="1" si="5"/>
        <v>3081.0553064718806</v>
      </c>
      <c r="N18" s="630">
        <f t="shared" ca="1" si="1"/>
        <v>3081.0553064718806</v>
      </c>
      <c r="O18" s="630">
        <f>O23-(O15+O20+O22)</f>
        <v>80</v>
      </c>
      <c r="P18" s="633"/>
      <c r="Q18" s="634"/>
      <c r="R18" s="633">
        <f t="shared" ca="1" si="6"/>
        <v>3161.0553064718806</v>
      </c>
      <c r="S18" s="630">
        <f t="shared" ca="1" si="2"/>
        <v>3161.0553064718806</v>
      </c>
      <c r="T18" s="630">
        <f>T23-(T15+T20+T22)</f>
        <v>0</v>
      </c>
      <c r="U18" s="633"/>
      <c r="V18" s="634"/>
      <c r="W18" s="633">
        <f t="shared" ca="1" si="7"/>
        <v>3161.0553064718806</v>
      </c>
      <c r="X18" s="630">
        <f t="shared" ca="1" si="3"/>
        <v>3161.0553064718806</v>
      </c>
      <c r="Y18" s="630">
        <f>Y23-(Y15+Y20+Y22)</f>
        <v>32</v>
      </c>
      <c r="Z18" s="633"/>
      <c r="AA18" s="634"/>
      <c r="AB18" s="633">
        <f t="shared" ca="1" si="8"/>
        <v>3193.0553064718806</v>
      </c>
      <c r="AD18" s="603">
        <v>4.2200000000000001E-2</v>
      </c>
    </row>
    <row r="19" spans="2:30">
      <c r="B19" s="272"/>
      <c r="C19" s="273" t="s">
        <v>1256</v>
      </c>
      <c r="D19" s="633"/>
      <c r="E19" s="633"/>
      <c r="F19" s="633"/>
      <c r="G19" s="634"/>
      <c r="H19" s="633">
        <f t="shared" si="4"/>
        <v>0</v>
      </c>
      <c r="I19" s="630">
        <f t="shared" si="0"/>
        <v>0</v>
      </c>
      <c r="J19" s="636"/>
      <c r="K19" s="630"/>
      <c r="L19" s="634"/>
      <c r="M19" s="633">
        <f t="shared" si="5"/>
        <v>0</v>
      </c>
      <c r="N19" s="630">
        <f t="shared" si="1"/>
        <v>0</v>
      </c>
      <c r="O19" s="633"/>
      <c r="P19" s="633"/>
      <c r="Q19" s="634"/>
      <c r="R19" s="633">
        <f t="shared" si="6"/>
        <v>0</v>
      </c>
      <c r="S19" s="630">
        <f t="shared" si="2"/>
        <v>0</v>
      </c>
      <c r="T19" s="633"/>
      <c r="U19" s="633"/>
      <c r="V19" s="634"/>
      <c r="W19" s="633">
        <f t="shared" si="7"/>
        <v>0</v>
      </c>
      <c r="X19" s="630">
        <f t="shared" si="3"/>
        <v>0</v>
      </c>
      <c r="Y19" s="633"/>
      <c r="Z19" s="633"/>
      <c r="AA19" s="634"/>
      <c r="AB19" s="633">
        <f t="shared" si="8"/>
        <v>0</v>
      </c>
      <c r="AD19" s="603"/>
    </row>
    <row r="20" spans="2:30">
      <c r="B20" s="627"/>
      <c r="C20" s="628" t="s">
        <v>1257</v>
      </c>
      <c r="D20" s="637"/>
      <c r="E20" s="637">
        <v>0</v>
      </c>
      <c r="F20" s="637"/>
      <c r="G20" s="638"/>
      <c r="H20" s="633">
        <f t="shared" si="4"/>
        <v>0</v>
      </c>
      <c r="I20" s="630">
        <f t="shared" si="0"/>
        <v>0</v>
      </c>
      <c r="J20" s="639">
        <v>20</v>
      </c>
      <c r="K20" s="639"/>
      <c r="L20" s="638"/>
      <c r="M20" s="633">
        <f t="shared" si="5"/>
        <v>20</v>
      </c>
      <c r="N20" s="630">
        <f t="shared" si="1"/>
        <v>20</v>
      </c>
      <c r="O20" s="637">
        <v>65</v>
      </c>
      <c r="P20" s="637"/>
      <c r="Q20" s="638"/>
      <c r="R20" s="633">
        <f t="shared" si="6"/>
        <v>85</v>
      </c>
      <c r="S20" s="630">
        <f t="shared" si="2"/>
        <v>85</v>
      </c>
      <c r="T20" s="637">
        <v>35</v>
      </c>
      <c r="U20" s="637"/>
      <c r="V20" s="638"/>
      <c r="W20" s="633">
        <f t="shared" si="7"/>
        <v>120</v>
      </c>
      <c r="X20" s="630">
        <f t="shared" si="3"/>
        <v>120</v>
      </c>
      <c r="Y20" s="637">
        <v>40</v>
      </c>
      <c r="Z20" s="637"/>
      <c r="AA20" s="638"/>
      <c r="AB20" s="633">
        <f t="shared" si="8"/>
        <v>160</v>
      </c>
      <c r="AD20" s="603">
        <v>6.3299999999999995E-2</v>
      </c>
    </row>
    <row r="21" spans="2:30">
      <c r="B21" s="627"/>
      <c r="C21" s="628" t="s">
        <v>1258</v>
      </c>
      <c r="D21" s="637"/>
      <c r="E21" s="637"/>
      <c r="F21" s="637"/>
      <c r="G21" s="638"/>
      <c r="H21" s="633">
        <f t="shared" si="4"/>
        <v>0</v>
      </c>
      <c r="I21" s="630">
        <f t="shared" si="0"/>
        <v>0</v>
      </c>
      <c r="J21" s="639"/>
      <c r="K21" s="639"/>
      <c r="L21" s="638"/>
      <c r="M21" s="633">
        <f t="shared" si="5"/>
        <v>0</v>
      </c>
      <c r="N21" s="630">
        <f t="shared" si="1"/>
        <v>0</v>
      </c>
      <c r="O21" s="637"/>
      <c r="P21" s="637"/>
      <c r="Q21" s="638"/>
      <c r="R21" s="633">
        <f t="shared" si="6"/>
        <v>0</v>
      </c>
      <c r="S21" s="630">
        <f t="shared" si="2"/>
        <v>0</v>
      </c>
      <c r="T21" s="637"/>
      <c r="U21" s="637"/>
      <c r="V21" s="638"/>
      <c r="W21" s="633">
        <f t="shared" si="7"/>
        <v>0</v>
      </c>
      <c r="X21" s="630">
        <f t="shared" si="3"/>
        <v>0</v>
      </c>
      <c r="Y21" s="637"/>
      <c r="Z21" s="637"/>
      <c r="AA21" s="638"/>
      <c r="AB21" s="633">
        <f t="shared" si="8"/>
        <v>0</v>
      </c>
      <c r="AD21" s="603"/>
    </row>
    <row r="22" spans="2:30">
      <c r="B22" s="204"/>
      <c r="C22" s="274" t="s">
        <v>1259</v>
      </c>
      <c r="D22" s="633"/>
      <c r="E22" s="640">
        <f ca="1">'F17'!F21</f>
        <v>0</v>
      </c>
      <c r="F22" s="640"/>
      <c r="G22" s="634"/>
      <c r="H22" s="633">
        <f t="shared" ca="1" si="4"/>
        <v>0</v>
      </c>
      <c r="I22" s="630">
        <f t="shared" ca="1" si="0"/>
        <v>0</v>
      </c>
      <c r="J22" s="630">
        <f>5012+500</f>
        <v>5512</v>
      </c>
      <c r="K22" s="630"/>
      <c r="L22" s="634"/>
      <c r="M22" s="633">
        <f t="shared" ca="1" si="5"/>
        <v>5512</v>
      </c>
      <c r="N22" s="630">
        <f t="shared" ca="1" si="1"/>
        <v>5512</v>
      </c>
      <c r="O22" s="640">
        <f>4805+100</f>
        <v>4905</v>
      </c>
      <c r="P22" s="640"/>
      <c r="Q22" s="634"/>
      <c r="R22" s="633">
        <f t="shared" ca="1" si="6"/>
        <v>10417</v>
      </c>
      <c r="S22" s="630">
        <f t="shared" ca="1" si="2"/>
        <v>10417</v>
      </c>
      <c r="T22" s="640">
        <f>3500+100</f>
        <v>3600</v>
      </c>
      <c r="U22" s="640"/>
      <c r="V22" s="634"/>
      <c r="W22" s="633">
        <f t="shared" ca="1" si="7"/>
        <v>14017</v>
      </c>
      <c r="X22" s="630">
        <f t="shared" ca="1" si="3"/>
        <v>14017</v>
      </c>
      <c r="Y22" s="640">
        <f>3640+100</f>
        <v>3740</v>
      </c>
      <c r="Z22" s="640"/>
      <c r="AA22" s="634"/>
      <c r="AB22" s="633">
        <f t="shared" ca="1" si="8"/>
        <v>17757</v>
      </c>
      <c r="AD22" s="603">
        <v>0.15</v>
      </c>
    </row>
    <row r="23" spans="2:30" ht="18">
      <c r="B23" s="276"/>
      <c r="C23" s="239" t="s">
        <v>235</v>
      </c>
      <c r="D23" s="641"/>
      <c r="E23" s="632">
        <f ca="1">'F17'!F21</f>
        <v>0</v>
      </c>
      <c r="F23" s="632"/>
      <c r="G23" s="632"/>
      <c r="H23" s="633">
        <f t="shared" ca="1" si="4"/>
        <v>0</v>
      </c>
      <c r="I23" s="630">
        <f t="shared" ca="1" si="0"/>
        <v>0</v>
      </c>
      <c r="J23" s="632">
        <f ca="1">'F17'!G21</f>
        <v>12423.055306471881</v>
      </c>
      <c r="K23" s="632"/>
      <c r="L23" s="632"/>
      <c r="M23" s="633">
        <f t="shared" ca="1" si="5"/>
        <v>12423.055306471881</v>
      </c>
      <c r="N23" s="630">
        <f t="shared" ca="1" si="1"/>
        <v>12423.055306471881</v>
      </c>
      <c r="O23" s="632">
        <f>'F17'!H21</f>
        <v>8060</v>
      </c>
      <c r="P23" s="632"/>
      <c r="Q23" s="632"/>
      <c r="R23" s="633">
        <f t="shared" ca="1" si="6"/>
        <v>20483.055306471881</v>
      </c>
      <c r="S23" s="630">
        <f t="shared" ca="1" si="2"/>
        <v>20483.055306471881</v>
      </c>
      <c r="T23" s="632">
        <f>'F17'!I21</f>
        <v>5315</v>
      </c>
      <c r="U23" s="632"/>
      <c r="V23" s="632"/>
      <c r="W23" s="633">
        <f t="shared" ca="1" si="7"/>
        <v>25798.055306471881</v>
      </c>
      <c r="X23" s="630">
        <f t="shared" ca="1" si="3"/>
        <v>25798.055306471881</v>
      </c>
      <c r="Y23" s="632">
        <f>'F17'!J21</f>
        <v>3822</v>
      </c>
      <c r="Z23" s="632"/>
      <c r="AA23" s="632"/>
      <c r="AB23" s="633">
        <f t="shared" ca="1" si="8"/>
        <v>29620.055306471881</v>
      </c>
      <c r="AD23" s="603"/>
    </row>
    <row r="24" spans="2:30">
      <c r="B24" s="200"/>
      <c r="C24" s="230"/>
      <c r="D24" s="230"/>
      <c r="E24" s="629"/>
      <c r="F24" s="230"/>
      <c r="G24" s="230"/>
      <c r="H24" s="230"/>
      <c r="J24" s="226"/>
      <c r="M24" s="226"/>
      <c r="N24" s="226"/>
    </row>
    <row r="25" spans="2:30">
      <c r="B25" s="277" t="s">
        <v>327</v>
      </c>
      <c r="C25" s="326"/>
      <c r="D25" s="326"/>
      <c r="E25" s="326"/>
      <c r="F25" s="326"/>
      <c r="G25" s="230"/>
      <c r="H25" s="230"/>
      <c r="J25" s="226"/>
      <c r="M25" s="226"/>
      <c r="N25" s="226"/>
    </row>
    <row r="26" spans="2:30">
      <c r="B26" s="200"/>
      <c r="C26" s="230"/>
      <c r="D26" s="230"/>
      <c r="E26" s="230"/>
      <c r="F26" s="230"/>
      <c r="G26" s="230"/>
      <c r="H26" s="230"/>
      <c r="J26" s="226"/>
      <c r="M26" s="226"/>
      <c r="N26" s="226"/>
    </row>
    <row r="27" spans="2:30">
      <c r="B27" s="200" t="s">
        <v>344</v>
      </c>
    </row>
    <row r="28" spans="2:30">
      <c r="J28" s="226"/>
      <c r="M28" s="226"/>
      <c r="N28" s="226"/>
      <c r="R28" s="231" t="s">
        <v>56</v>
      </c>
    </row>
    <row r="29" spans="2:30" ht="15" customHeight="1">
      <c r="B29" s="1030" t="s">
        <v>2</v>
      </c>
      <c r="C29" s="1030" t="s">
        <v>57</v>
      </c>
      <c r="D29" s="1030" t="s">
        <v>70</v>
      </c>
      <c r="E29" s="1030"/>
      <c r="F29" s="1030"/>
      <c r="G29" s="1030"/>
      <c r="H29" s="1030"/>
      <c r="I29" s="1030" t="s">
        <v>71</v>
      </c>
      <c r="J29" s="1030"/>
      <c r="K29" s="1030"/>
      <c r="L29" s="1030"/>
      <c r="M29" s="1030"/>
      <c r="N29" s="1030" t="s">
        <v>72</v>
      </c>
      <c r="O29" s="1030"/>
      <c r="P29" s="1030"/>
      <c r="Q29" s="1030"/>
      <c r="R29" s="1030"/>
      <c r="S29" s="1030" t="s">
        <v>73</v>
      </c>
      <c r="T29" s="1030"/>
      <c r="U29" s="1030"/>
      <c r="V29" s="1030"/>
      <c r="W29" s="1030"/>
      <c r="X29" s="1030" t="s">
        <v>74</v>
      </c>
      <c r="Y29" s="1030"/>
      <c r="Z29" s="1030"/>
      <c r="AA29" s="1030"/>
      <c r="AB29" s="1030"/>
    </row>
    <row r="30" spans="2:30">
      <c r="B30" s="1030"/>
      <c r="C30" s="1030"/>
      <c r="D30" s="1031" t="s">
        <v>267</v>
      </c>
      <c r="E30" s="1033"/>
      <c r="F30" s="1033"/>
      <c r="G30" s="1033"/>
      <c r="H30" s="1033"/>
      <c r="I30" s="1031" t="s">
        <v>267</v>
      </c>
      <c r="J30" s="1033"/>
      <c r="K30" s="1033"/>
      <c r="L30" s="1033"/>
      <c r="M30" s="1033"/>
      <c r="N30" s="1031" t="s">
        <v>295</v>
      </c>
      <c r="O30" s="1033"/>
      <c r="P30" s="1033"/>
      <c r="Q30" s="1033"/>
      <c r="R30" s="1033"/>
      <c r="S30" s="1031" t="s">
        <v>86</v>
      </c>
      <c r="T30" s="1033"/>
      <c r="U30" s="1033"/>
      <c r="V30" s="1033"/>
      <c r="W30" s="1033"/>
      <c r="X30" s="1031" t="s">
        <v>86</v>
      </c>
      <c r="Y30" s="1033"/>
      <c r="Z30" s="1033"/>
      <c r="AA30" s="1033"/>
      <c r="AB30" s="1033"/>
    </row>
    <row r="31" spans="2:30" ht="57">
      <c r="B31" s="1030"/>
      <c r="C31" s="1030"/>
      <c r="D31" s="213" t="s">
        <v>346</v>
      </c>
      <c r="E31" s="213" t="s">
        <v>315</v>
      </c>
      <c r="F31" s="214" t="s">
        <v>347</v>
      </c>
      <c r="G31" s="213" t="s">
        <v>353</v>
      </c>
      <c r="H31" s="213" t="s">
        <v>348</v>
      </c>
      <c r="I31" s="213" t="s">
        <v>346</v>
      </c>
      <c r="J31" s="213" t="s">
        <v>315</v>
      </c>
      <c r="K31" s="214" t="s">
        <v>347</v>
      </c>
      <c r="L31" s="213" t="s">
        <v>353</v>
      </c>
      <c r="M31" s="213" t="s">
        <v>348</v>
      </c>
      <c r="N31" s="213" t="s">
        <v>346</v>
      </c>
      <c r="O31" s="213" t="s">
        <v>315</v>
      </c>
      <c r="P31" s="214" t="s">
        <v>347</v>
      </c>
      <c r="Q31" s="213" t="s">
        <v>353</v>
      </c>
      <c r="R31" s="213" t="s">
        <v>348</v>
      </c>
      <c r="S31" s="213" t="s">
        <v>346</v>
      </c>
      <c r="T31" s="213" t="s">
        <v>315</v>
      </c>
      <c r="U31" s="214" t="s">
        <v>347</v>
      </c>
      <c r="V31" s="213" t="s">
        <v>353</v>
      </c>
      <c r="W31" s="213" t="s">
        <v>348</v>
      </c>
      <c r="X31" s="213" t="s">
        <v>346</v>
      </c>
      <c r="Y31" s="213" t="s">
        <v>315</v>
      </c>
      <c r="Z31" s="214" t="s">
        <v>347</v>
      </c>
      <c r="AA31" s="213" t="s">
        <v>353</v>
      </c>
      <c r="AB31" s="213" t="s">
        <v>348</v>
      </c>
    </row>
    <row r="32" spans="2:30" ht="28.5">
      <c r="B32" s="198"/>
      <c r="C32" s="198"/>
      <c r="D32" s="198" t="s">
        <v>75</v>
      </c>
      <c r="E32" s="198" t="s">
        <v>76</v>
      </c>
      <c r="F32" s="198" t="s">
        <v>116</v>
      </c>
      <c r="G32" s="198" t="s">
        <v>78</v>
      </c>
      <c r="H32" s="198" t="s">
        <v>354</v>
      </c>
      <c r="I32" s="198" t="s">
        <v>319</v>
      </c>
      <c r="J32" s="198" t="s">
        <v>81</v>
      </c>
      <c r="K32" s="198" t="s">
        <v>82</v>
      </c>
      <c r="L32" s="198" t="s">
        <v>321</v>
      </c>
      <c r="M32" s="198" t="s">
        <v>355</v>
      </c>
      <c r="N32" s="198" t="s">
        <v>324</v>
      </c>
      <c r="O32" s="198" t="s">
        <v>325</v>
      </c>
      <c r="P32" s="198" t="s">
        <v>328</v>
      </c>
      <c r="Q32" s="198" t="s">
        <v>329</v>
      </c>
      <c r="R32" s="198" t="s">
        <v>356</v>
      </c>
      <c r="S32" s="198" t="s">
        <v>332</v>
      </c>
      <c r="T32" s="198" t="s">
        <v>333</v>
      </c>
      <c r="U32" s="198" t="s">
        <v>334</v>
      </c>
      <c r="V32" s="198" t="s">
        <v>336</v>
      </c>
      <c r="W32" s="198" t="s">
        <v>357</v>
      </c>
      <c r="X32" s="198" t="s">
        <v>337</v>
      </c>
      <c r="Y32" s="198" t="s">
        <v>338</v>
      </c>
      <c r="Z32" s="198" t="s">
        <v>340</v>
      </c>
      <c r="AA32" s="198" t="s">
        <v>341</v>
      </c>
      <c r="AB32" s="198" t="s">
        <v>362</v>
      </c>
    </row>
    <row r="33" spans="2:38">
      <c r="B33" s="272"/>
      <c r="C33" s="273" t="s">
        <v>1253</v>
      </c>
      <c r="D33" s="477"/>
      <c r="E33" s="633">
        <f>(E14/2)*$AD14</f>
        <v>0</v>
      </c>
      <c r="F33" s="633"/>
      <c r="G33" s="644"/>
      <c r="H33" s="633">
        <f>D33+E33-F33</f>
        <v>0</v>
      </c>
      <c r="I33" s="633">
        <f>H33</f>
        <v>0</v>
      </c>
      <c r="J33" s="633">
        <f>AVERAGE(I14,M14)*$AD14</f>
        <v>0</v>
      </c>
      <c r="K33" s="633"/>
      <c r="L33" s="644"/>
      <c r="M33" s="633">
        <f t="shared" ref="M33:M42" si="9">I33+J33-K33</f>
        <v>0</v>
      </c>
      <c r="N33" s="633">
        <f t="shared" ref="N33:N42" si="10">M33</f>
        <v>0</v>
      </c>
      <c r="O33" s="633">
        <f>AVERAGE(N14,R14)*$AD14</f>
        <v>0</v>
      </c>
      <c r="P33" s="633"/>
      <c r="Q33" s="644"/>
      <c r="R33" s="633">
        <f>N33+O33-P33</f>
        <v>0</v>
      </c>
      <c r="S33" s="633">
        <f>R33</f>
        <v>0</v>
      </c>
      <c r="T33" s="633">
        <f>AVERAGE(S14,W14)*$AD14</f>
        <v>0</v>
      </c>
      <c r="U33" s="633"/>
      <c r="V33" s="644"/>
      <c r="W33" s="633">
        <f>S33+T33-U33</f>
        <v>0</v>
      </c>
      <c r="X33" s="633">
        <f>W33</f>
        <v>0</v>
      </c>
      <c r="Y33" s="633">
        <f>AVERAGE(X14,AB14)*$AD14</f>
        <v>0</v>
      </c>
      <c r="Z33" s="633"/>
      <c r="AA33" s="644"/>
      <c r="AB33" s="633">
        <f>X33+Y33-Z33</f>
        <v>0</v>
      </c>
    </row>
    <row r="34" spans="2:38">
      <c r="B34" s="272"/>
      <c r="C34" s="273" t="s">
        <v>1254</v>
      </c>
      <c r="D34" s="477"/>
      <c r="E34" s="633">
        <f t="shared" ref="E34:E41" si="11">(E15/2)*$AD15</f>
        <v>0</v>
      </c>
      <c r="F34" s="633"/>
      <c r="G34" s="644"/>
      <c r="H34" s="633">
        <f t="shared" ref="H34:H42" si="12">D34+E34-F34</f>
        <v>0</v>
      </c>
      <c r="I34" s="633">
        <f t="shared" ref="I34:I42" si="13">H34</f>
        <v>0</v>
      </c>
      <c r="J34" s="633">
        <f t="shared" ref="J34:J41" si="14">AVERAGE(I15,M15)*$AD15</f>
        <v>63.626999999999995</v>
      </c>
      <c r="K34" s="633"/>
      <c r="L34" s="644"/>
      <c r="M34" s="633">
        <f t="shared" si="9"/>
        <v>63.626999999999995</v>
      </c>
      <c r="N34" s="633">
        <f t="shared" si="10"/>
        <v>63.626999999999995</v>
      </c>
      <c r="O34" s="633">
        <f t="shared" ref="O34:O41" si="15">AVERAGE(N15,R15)*$AD15</f>
        <v>177.52099999999999</v>
      </c>
      <c r="P34" s="633"/>
      <c r="Q34" s="644"/>
      <c r="R34" s="633">
        <f t="shared" ref="R34:R42" si="16">N34+O34-P34</f>
        <v>241.14799999999997</v>
      </c>
      <c r="S34" s="633">
        <f t="shared" ref="S34:S42" si="17">R34</f>
        <v>241.14799999999997</v>
      </c>
      <c r="T34" s="633">
        <f t="shared" ref="T34:T41" si="18">AVERAGE(S15,W15)*$AD15</f>
        <v>255.84399999999999</v>
      </c>
      <c r="U34" s="633"/>
      <c r="V34" s="644"/>
      <c r="W34" s="633">
        <f t="shared" ref="W34:W42" si="19">S34+T34-U34</f>
        <v>496.99199999999996</v>
      </c>
      <c r="X34" s="633">
        <f t="shared" ref="X34:X42" si="20">W34</f>
        <v>496.99199999999996</v>
      </c>
      <c r="Y34" s="633">
        <f t="shared" ref="Y34:Y41" si="21">AVERAGE(X15,AB15)*$AD15</f>
        <v>284.06700000000001</v>
      </c>
      <c r="Z34" s="633"/>
      <c r="AA34" s="644"/>
      <c r="AB34" s="633">
        <f t="shared" ref="AB34:AB42" si="22">X34+Y34-Z34</f>
        <v>781.05899999999997</v>
      </c>
    </row>
    <row r="35" spans="2:38">
      <c r="B35" s="272"/>
      <c r="C35" s="237" t="s">
        <v>211</v>
      </c>
      <c r="D35" s="477"/>
      <c r="E35" s="633">
        <f t="shared" si="11"/>
        <v>0</v>
      </c>
      <c r="F35" s="633"/>
      <c r="G35" s="645"/>
      <c r="H35" s="633">
        <f t="shared" si="12"/>
        <v>0</v>
      </c>
      <c r="I35" s="633">
        <f t="shared" si="13"/>
        <v>0</v>
      </c>
      <c r="J35" s="633">
        <f t="shared" si="14"/>
        <v>0</v>
      </c>
      <c r="K35" s="633"/>
      <c r="L35" s="645"/>
      <c r="M35" s="633">
        <f t="shared" si="9"/>
        <v>0</v>
      </c>
      <c r="N35" s="633">
        <f t="shared" si="10"/>
        <v>0</v>
      </c>
      <c r="O35" s="633">
        <f t="shared" si="15"/>
        <v>0</v>
      </c>
      <c r="P35" s="633"/>
      <c r="Q35" s="645"/>
      <c r="R35" s="633">
        <f t="shared" si="16"/>
        <v>0</v>
      </c>
      <c r="S35" s="633">
        <f t="shared" si="17"/>
        <v>0</v>
      </c>
      <c r="T35" s="633">
        <f t="shared" si="18"/>
        <v>0</v>
      </c>
      <c r="U35" s="633"/>
      <c r="V35" s="645"/>
      <c r="W35" s="633">
        <f t="shared" si="19"/>
        <v>0</v>
      </c>
      <c r="X35" s="633">
        <f t="shared" si="20"/>
        <v>0</v>
      </c>
      <c r="Y35" s="633">
        <f t="shared" si="21"/>
        <v>0</v>
      </c>
      <c r="Z35" s="633"/>
      <c r="AA35" s="645"/>
      <c r="AB35" s="633">
        <f t="shared" si="22"/>
        <v>0</v>
      </c>
    </row>
    <row r="36" spans="2:38">
      <c r="B36" s="272"/>
      <c r="C36" s="273" t="s">
        <v>1255</v>
      </c>
      <c r="D36" s="477"/>
      <c r="E36" s="633">
        <f t="shared" si="11"/>
        <v>0</v>
      </c>
      <c r="F36" s="633"/>
      <c r="G36" s="644"/>
      <c r="H36" s="633">
        <f t="shared" si="12"/>
        <v>0</v>
      </c>
      <c r="I36" s="633">
        <f t="shared" si="13"/>
        <v>0</v>
      </c>
      <c r="J36" s="633">
        <f t="shared" si="14"/>
        <v>0</v>
      </c>
      <c r="K36" s="633"/>
      <c r="L36" s="644"/>
      <c r="M36" s="633">
        <f t="shared" si="9"/>
        <v>0</v>
      </c>
      <c r="N36" s="633">
        <f t="shared" si="10"/>
        <v>0</v>
      </c>
      <c r="O36" s="633">
        <f t="shared" si="15"/>
        <v>0</v>
      </c>
      <c r="P36" s="633"/>
      <c r="Q36" s="644"/>
      <c r="R36" s="633">
        <f t="shared" si="16"/>
        <v>0</v>
      </c>
      <c r="S36" s="633">
        <f t="shared" si="17"/>
        <v>0</v>
      </c>
      <c r="T36" s="633">
        <f t="shared" si="18"/>
        <v>0</v>
      </c>
      <c r="U36" s="633"/>
      <c r="V36" s="644"/>
      <c r="W36" s="633">
        <f t="shared" si="19"/>
        <v>0</v>
      </c>
      <c r="X36" s="633">
        <f t="shared" si="20"/>
        <v>0</v>
      </c>
      <c r="Y36" s="633">
        <f t="shared" si="21"/>
        <v>0</v>
      </c>
      <c r="Z36" s="633"/>
      <c r="AA36" s="644"/>
      <c r="AB36" s="633">
        <f t="shared" si="22"/>
        <v>0</v>
      </c>
    </row>
    <row r="37" spans="2:38">
      <c r="B37" s="627"/>
      <c r="C37" s="273" t="s">
        <v>582</v>
      </c>
      <c r="D37" s="631"/>
      <c r="E37" s="633">
        <f t="shared" si="11"/>
        <v>0</v>
      </c>
      <c r="F37" s="637"/>
      <c r="G37" s="646"/>
      <c r="H37" s="633">
        <f t="shared" si="12"/>
        <v>0</v>
      </c>
      <c r="I37" s="633">
        <f t="shared" si="13"/>
        <v>0</v>
      </c>
      <c r="J37" s="633">
        <f t="shared" ca="1" si="14"/>
        <v>65.010266966556685</v>
      </c>
      <c r="K37" s="637"/>
      <c r="L37" s="646"/>
      <c r="M37" s="633">
        <f t="shared" ca="1" si="9"/>
        <v>65.010266966556685</v>
      </c>
      <c r="N37" s="633">
        <f t="shared" ca="1" si="10"/>
        <v>65.010266966556685</v>
      </c>
      <c r="O37" s="633">
        <f t="shared" ca="1" si="15"/>
        <v>131.70853393311336</v>
      </c>
      <c r="P37" s="637"/>
      <c r="Q37" s="646"/>
      <c r="R37" s="633">
        <f t="shared" ca="1" si="16"/>
        <v>196.71880089967004</v>
      </c>
      <c r="S37" s="633">
        <f t="shared" ca="1" si="17"/>
        <v>196.71880089967004</v>
      </c>
      <c r="T37" s="633">
        <f t="shared" ca="1" si="18"/>
        <v>133.39653393311337</v>
      </c>
      <c r="U37" s="637"/>
      <c r="V37" s="646"/>
      <c r="W37" s="633">
        <f t="shared" ca="1" si="19"/>
        <v>330.11533483278345</v>
      </c>
      <c r="X37" s="633">
        <f t="shared" ca="1" si="20"/>
        <v>330.11533483278345</v>
      </c>
      <c r="Y37" s="633">
        <f t="shared" ca="1" si="21"/>
        <v>134.07173393311336</v>
      </c>
      <c r="Z37" s="637"/>
      <c r="AA37" s="646"/>
      <c r="AB37" s="633">
        <f t="shared" ca="1" si="22"/>
        <v>464.18706876589681</v>
      </c>
    </row>
    <row r="38" spans="2:38">
      <c r="B38" s="627"/>
      <c r="C38" s="273" t="s">
        <v>1256</v>
      </c>
      <c r="D38" s="631"/>
      <c r="E38" s="633">
        <f t="shared" si="11"/>
        <v>0</v>
      </c>
      <c r="F38" s="637"/>
      <c r="G38" s="646"/>
      <c r="H38" s="633">
        <f t="shared" si="12"/>
        <v>0</v>
      </c>
      <c r="I38" s="633">
        <f t="shared" si="13"/>
        <v>0</v>
      </c>
      <c r="J38" s="633">
        <f t="shared" si="14"/>
        <v>0</v>
      </c>
      <c r="K38" s="637"/>
      <c r="L38" s="646"/>
      <c r="M38" s="633">
        <f t="shared" si="9"/>
        <v>0</v>
      </c>
      <c r="N38" s="633">
        <f t="shared" si="10"/>
        <v>0</v>
      </c>
      <c r="O38" s="633">
        <f t="shared" si="15"/>
        <v>0</v>
      </c>
      <c r="P38" s="637"/>
      <c r="Q38" s="646"/>
      <c r="R38" s="633">
        <f t="shared" si="16"/>
        <v>0</v>
      </c>
      <c r="S38" s="633">
        <f t="shared" si="17"/>
        <v>0</v>
      </c>
      <c r="T38" s="633">
        <f t="shared" si="18"/>
        <v>0</v>
      </c>
      <c r="U38" s="637"/>
      <c r="V38" s="646"/>
      <c r="W38" s="633">
        <f t="shared" si="19"/>
        <v>0</v>
      </c>
      <c r="X38" s="633">
        <f t="shared" si="20"/>
        <v>0</v>
      </c>
      <c r="Y38" s="633">
        <f t="shared" si="21"/>
        <v>0</v>
      </c>
      <c r="Z38" s="637"/>
      <c r="AA38" s="646"/>
      <c r="AB38" s="633">
        <f t="shared" si="22"/>
        <v>0</v>
      </c>
    </row>
    <row r="39" spans="2:38">
      <c r="B39" s="627"/>
      <c r="C39" s="628" t="s">
        <v>1257</v>
      </c>
      <c r="D39" s="631"/>
      <c r="E39" s="633">
        <f t="shared" si="11"/>
        <v>0</v>
      </c>
      <c r="F39" s="637"/>
      <c r="G39" s="646"/>
      <c r="H39" s="633">
        <f t="shared" si="12"/>
        <v>0</v>
      </c>
      <c r="I39" s="633">
        <f t="shared" si="13"/>
        <v>0</v>
      </c>
      <c r="J39" s="633">
        <f t="shared" si="14"/>
        <v>0.63300000000000001</v>
      </c>
      <c r="K39" s="637"/>
      <c r="L39" s="646"/>
      <c r="M39" s="633">
        <f t="shared" si="9"/>
        <v>0.63300000000000001</v>
      </c>
      <c r="N39" s="633">
        <f t="shared" si="10"/>
        <v>0.63300000000000001</v>
      </c>
      <c r="O39" s="633">
        <f t="shared" si="15"/>
        <v>3.3232499999999998</v>
      </c>
      <c r="P39" s="637"/>
      <c r="Q39" s="646"/>
      <c r="R39" s="633">
        <f t="shared" si="16"/>
        <v>3.9562499999999998</v>
      </c>
      <c r="S39" s="633">
        <f t="shared" si="17"/>
        <v>3.9562499999999998</v>
      </c>
      <c r="T39" s="633">
        <f t="shared" si="18"/>
        <v>6.4882499999999999</v>
      </c>
      <c r="U39" s="637"/>
      <c r="V39" s="646"/>
      <c r="W39" s="633">
        <f t="shared" si="19"/>
        <v>10.4445</v>
      </c>
      <c r="X39" s="633">
        <f t="shared" si="20"/>
        <v>10.4445</v>
      </c>
      <c r="Y39" s="633">
        <f t="shared" si="21"/>
        <v>8.8620000000000001</v>
      </c>
      <c r="Z39" s="637"/>
      <c r="AA39" s="646"/>
      <c r="AB39" s="633">
        <f t="shared" si="22"/>
        <v>19.3065</v>
      </c>
    </row>
    <row r="40" spans="2:38">
      <c r="B40" s="272"/>
      <c r="C40" s="628" t="s">
        <v>1258</v>
      </c>
      <c r="D40" s="477"/>
      <c r="E40" s="633">
        <f t="shared" si="11"/>
        <v>0</v>
      </c>
      <c r="F40" s="633"/>
      <c r="G40" s="644"/>
      <c r="H40" s="633">
        <f t="shared" si="12"/>
        <v>0</v>
      </c>
      <c r="I40" s="633">
        <f t="shared" si="13"/>
        <v>0</v>
      </c>
      <c r="J40" s="633">
        <f t="shared" si="14"/>
        <v>0</v>
      </c>
      <c r="K40" s="633"/>
      <c r="L40" s="644"/>
      <c r="M40" s="633">
        <f t="shared" si="9"/>
        <v>0</v>
      </c>
      <c r="N40" s="633">
        <f t="shared" si="10"/>
        <v>0</v>
      </c>
      <c r="O40" s="633">
        <f t="shared" si="15"/>
        <v>0</v>
      </c>
      <c r="P40" s="633"/>
      <c r="Q40" s="644"/>
      <c r="R40" s="633">
        <f t="shared" si="16"/>
        <v>0</v>
      </c>
      <c r="S40" s="633">
        <f t="shared" si="17"/>
        <v>0</v>
      </c>
      <c r="T40" s="633">
        <f t="shared" si="18"/>
        <v>0</v>
      </c>
      <c r="U40" s="633"/>
      <c r="V40" s="644"/>
      <c r="W40" s="633">
        <f t="shared" si="19"/>
        <v>0</v>
      </c>
      <c r="X40" s="633">
        <f t="shared" si="20"/>
        <v>0</v>
      </c>
      <c r="Y40" s="633">
        <f t="shared" si="21"/>
        <v>0</v>
      </c>
      <c r="Z40" s="633"/>
      <c r="AA40" s="644"/>
      <c r="AB40" s="633">
        <f t="shared" si="22"/>
        <v>0</v>
      </c>
    </row>
    <row r="41" spans="2:38">
      <c r="B41" s="204"/>
      <c r="C41" s="274" t="s">
        <v>1259</v>
      </c>
      <c r="D41" s="477"/>
      <c r="E41" s="633">
        <f t="shared" ca="1" si="11"/>
        <v>0</v>
      </c>
      <c r="F41" s="633"/>
      <c r="G41" s="644"/>
      <c r="H41" s="633">
        <f t="shared" ca="1" si="12"/>
        <v>0</v>
      </c>
      <c r="I41" s="633">
        <f t="shared" ca="1" si="13"/>
        <v>0</v>
      </c>
      <c r="J41" s="633">
        <f t="shared" ca="1" si="14"/>
        <v>413.4</v>
      </c>
      <c r="K41" s="640"/>
      <c r="L41" s="644"/>
      <c r="M41" s="633">
        <f t="shared" ca="1" si="9"/>
        <v>413.4</v>
      </c>
      <c r="N41" s="633">
        <f t="shared" ca="1" si="10"/>
        <v>413.4</v>
      </c>
      <c r="O41" s="633">
        <f t="shared" ca="1" si="15"/>
        <v>1194.675</v>
      </c>
      <c r="P41" s="640"/>
      <c r="Q41" s="644"/>
      <c r="R41" s="633">
        <f t="shared" ca="1" si="16"/>
        <v>1608.0749999999998</v>
      </c>
      <c r="S41" s="633">
        <f t="shared" ca="1" si="17"/>
        <v>1608.0749999999998</v>
      </c>
      <c r="T41" s="633">
        <f t="shared" ca="1" si="18"/>
        <v>1832.55</v>
      </c>
      <c r="U41" s="633"/>
      <c r="V41" s="644"/>
      <c r="W41" s="633">
        <f t="shared" ca="1" si="19"/>
        <v>3440.625</v>
      </c>
      <c r="X41" s="633">
        <f t="shared" ca="1" si="20"/>
        <v>3440.625</v>
      </c>
      <c r="Y41" s="633">
        <f t="shared" ca="1" si="21"/>
        <v>2383.0499999999997</v>
      </c>
      <c r="Z41" s="633"/>
      <c r="AA41" s="644"/>
      <c r="AB41" s="633">
        <f t="shared" ca="1" si="22"/>
        <v>5823.6749999999993</v>
      </c>
    </row>
    <row r="42" spans="2:38" ht="18">
      <c r="B42" s="276"/>
      <c r="C42" s="239" t="s">
        <v>235</v>
      </c>
      <c r="D42" s="647"/>
      <c r="E42" s="648">
        <f ca="1">SUM(E33:E41)</f>
        <v>0</v>
      </c>
      <c r="F42" s="648"/>
      <c r="G42" s="644"/>
      <c r="H42" s="633">
        <f t="shared" ca="1" si="12"/>
        <v>0</v>
      </c>
      <c r="I42" s="633">
        <f t="shared" ca="1" si="13"/>
        <v>0</v>
      </c>
      <c r="J42" s="648">
        <f ca="1">SUM(J33:J41)</f>
        <v>542.67026696655671</v>
      </c>
      <c r="K42" s="641"/>
      <c r="L42" s="644"/>
      <c r="M42" s="633">
        <f t="shared" ca="1" si="9"/>
        <v>542.67026696655671</v>
      </c>
      <c r="N42" s="633">
        <f t="shared" ca="1" si="10"/>
        <v>542.67026696655671</v>
      </c>
      <c r="O42" s="648">
        <f ca="1">SUM(O33:O41)</f>
        <v>1507.2277839331132</v>
      </c>
      <c r="P42" s="641"/>
      <c r="Q42" s="644"/>
      <c r="R42" s="633">
        <f t="shared" ca="1" si="16"/>
        <v>2049.8980508996701</v>
      </c>
      <c r="S42" s="633">
        <f t="shared" ca="1" si="17"/>
        <v>2049.8980508996701</v>
      </c>
      <c r="T42" s="648">
        <f ca="1">SUM(T33:T41)</f>
        <v>2228.2787839331131</v>
      </c>
      <c r="U42" s="640"/>
      <c r="V42" s="644"/>
      <c r="W42" s="633">
        <f t="shared" ca="1" si="19"/>
        <v>4278.1768348327832</v>
      </c>
      <c r="X42" s="633">
        <f t="shared" ca="1" si="20"/>
        <v>4278.1768348327832</v>
      </c>
      <c r="Y42" s="648">
        <f ca="1">SUM(Y33:Y41)</f>
        <v>2810.050733933113</v>
      </c>
      <c r="Z42" s="640"/>
      <c r="AA42" s="644"/>
      <c r="AB42" s="633">
        <f t="shared" ca="1" si="22"/>
        <v>7088.2275687658966</v>
      </c>
    </row>
    <row r="43" spans="2:38" ht="18">
      <c r="B43" s="241"/>
      <c r="C43" s="278"/>
      <c r="D43" s="278"/>
      <c r="E43" s="278"/>
      <c r="F43" s="278"/>
      <c r="G43" s="278"/>
      <c r="H43" s="278"/>
      <c r="I43" s="241"/>
      <c r="J43" s="241"/>
      <c r="K43" s="241"/>
      <c r="L43" s="241"/>
      <c r="M43" s="241"/>
      <c r="N43" s="241"/>
      <c r="O43" s="241"/>
      <c r="P43" s="241"/>
      <c r="Q43" s="241"/>
      <c r="R43" s="241"/>
      <c r="T43" s="279"/>
      <c r="U43" s="279"/>
      <c r="V43" s="279"/>
    </row>
    <row r="44" spans="2:38" ht="18">
      <c r="B44" s="277" t="s">
        <v>358</v>
      </c>
      <c r="C44" s="280"/>
      <c r="D44" s="280"/>
      <c r="E44" s="280"/>
      <c r="F44" s="280"/>
      <c r="G44" s="280"/>
      <c r="H44" s="280"/>
      <c r="I44" s="281"/>
      <c r="J44" s="281"/>
      <c r="K44" s="241"/>
      <c r="L44" s="241"/>
      <c r="M44" s="241"/>
      <c r="N44" s="241"/>
      <c r="O44" s="241"/>
      <c r="P44" s="241"/>
      <c r="Q44" s="241"/>
      <c r="R44" s="241"/>
      <c r="T44" s="279"/>
      <c r="U44" s="279"/>
      <c r="V44" s="279"/>
      <c r="X44" s="241"/>
      <c r="Y44" s="241"/>
      <c r="Z44" s="241"/>
      <c r="AA44" s="241"/>
      <c r="AB44" s="241"/>
      <c r="AC44" s="241"/>
      <c r="AD44" s="241"/>
      <c r="AE44" s="241"/>
      <c r="AF44" s="241"/>
      <c r="AG44" s="241"/>
      <c r="AH44" s="241"/>
      <c r="AI44" s="241"/>
      <c r="AJ44" s="241"/>
      <c r="AK44" s="241"/>
      <c r="AL44" s="241"/>
    </row>
    <row r="45" spans="2:38" ht="18">
      <c r="B45" s="277" t="s">
        <v>359</v>
      </c>
      <c r="C45" s="280"/>
      <c r="D45" s="280"/>
      <c r="E45" s="280"/>
      <c r="F45" s="280"/>
      <c r="G45" s="280"/>
      <c r="H45" s="280"/>
      <c r="I45" s="281"/>
      <c r="J45" s="281"/>
      <c r="K45" s="241"/>
      <c r="L45" s="241"/>
      <c r="M45" s="241"/>
      <c r="N45" s="241"/>
      <c r="O45" s="241"/>
      <c r="P45" s="241"/>
      <c r="Q45" s="241"/>
      <c r="R45" s="241"/>
      <c r="T45" s="279"/>
      <c r="U45" s="279"/>
      <c r="V45" s="279"/>
      <c r="X45" s="241"/>
      <c r="Y45" s="241"/>
      <c r="Z45" s="241"/>
      <c r="AA45" s="241"/>
      <c r="AB45" s="241"/>
      <c r="AC45" s="241"/>
      <c r="AD45" s="241"/>
      <c r="AE45" s="241"/>
      <c r="AF45" s="241"/>
      <c r="AG45" s="241"/>
      <c r="AH45" s="241"/>
      <c r="AI45" s="241"/>
      <c r="AJ45" s="241"/>
      <c r="AK45" s="241"/>
      <c r="AL45" s="241"/>
    </row>
    <row r="46" spans="2:38" ht="18">
      <c r="B46" s="241"/>
      <c r="C46" s="278"/>
      <c r="D46" s="278"/>
      <c r="E46" s="278"/>
      <c r="F46" s="278"/>
      <c r="G46" s="278"/>
      <c r="H46" s="278"/>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row>
    <row r="48" spans="2:38">
      <c r="B48" s="200" t="s">
        <v>351</v>
      </c>
    </row>
    <row r="49" spans="2:38">
      <c r="B49" s="200"/>
    </row>
    <row r="50" spans="2:38">
      <c r="J50" s="226"/>
      <c r="M50" s="226"/>
      <c r="N50" s="226"/>
      <c r="R50" s="1"/>
      <c r="W50" s="231" t="s">
        <v>56</v>
      </c>
    </row>
    <row r="51" spans="2:38" ht="32.25" customHeight="1">
      <c r="B51" s="1030" t="s">
        <v>2</v>
      </c>
      <c r="C51" s="1030" t="s">
        <v>57</v>
      </c>
      <c r="D51" s="1030" t="s">
        <v>70</v>
      </c>
      <c r="E51" s="1030"/>
      <c r="F51" s="1030"/>
      <c r="G51" s="1030"/>
      <c r="H51" s="1030"/>
      <c r="I51" s="1030" t="s">
        <v>71</v>
      </c>
      <c r="J51" s="1030"/>
      <c r="K51" s="1030"/>
      <c r="L51" s="1030"/>
      <c r="M51" s="1030"/>
      <c r="N51" s="1030" t="s">
        <v>72</v>
      </c>
      <c r="O51" s="1030"/>
      <c r="P51" s="1030"/>
      <c r="Q51" s="1030"/>
      <c r="R51" s="1030"/>
      <c r="S51" s="1030" t="s">
        <v>73</v>
      </c>
      <c r="T51" s="1030"/>
      <c r="U51" s="1030"/>
      <c r="V51" s="1030"/>
      <c r="W51" s="1030"/>
      <c r="X51" s="1030" t="s">
        <v>74</v>
      </c>
      <c r="Y51" s="1030"/>
      <c r="Z51" s="1030"/>
      <c r="AA51" s="1030"/>
      <c r="AB51" s="1030"/>
    </row>
    <row r="52" spans="2:38" ht="15" customHeight="1">
      <c r="B52" s="1030"/>
      <c r="C52" s="1030"/>
      <c r="D52" s="1031" t="s">
        <v>267</v>
      </c>
      <c r="E52" s="1033"/>
      <c r="F52" s="1033"/>
      <c r="G52" s="1033"/>
      <c r="H52" s="1033"/>
      <c r="I52" s="1031" t="s">
        <v>267</v>
      </c>
      <c r="J52" s="1033"/>
      <c r="K52" s="1033"/>
      <c r="L52" s="1033"/>
      <c r="M52" s="1033"/>
      <c r="N52" s="1031" t="s">
        <v>295</v>
      </c>
      <c r="O52" s="1033"/>
      <c r="P52" s="1033"/>
      <c r="Q52" s="1033"/>
      <c r="R52" s="1033"/>
      <c r="S52" s="1031" t="s">
        <v>86</v>
      </c>
      <c r="T52" s="1033"/>
      <c r="U52" s="1033"/>
      <c r="V52" s="1033"/>
      <c r="W52" s="1033"/>
      <c r="X52" s="1031" t="s">
        <v>86</v>
      </c>
      <c r="Y52" s="1033"/>
      <c r="Z52" s="1033"/>
      <c r="AA52" s="1033"/>
      <c r="AB52" s="1033"/>
    </row>
    <row r="53" spans="2:38" ht="42.75">
      <c r="B53" s="1030"/>
      <c r="C53" s="1030"/>
      <c r="D53" s="213" t="s">
        <v>314</v>
      </c>
      <c r="E53" s="213" t="s">
        <v>315</v>
      </c>
      <c r="F53" s="214" t="s">
        <v>347</v>
      </c>
      <c r="G53" s="213" t="s">
        <v>353</v>
      </c>
      <c r="H53" s="213" t="s">
        <v>317</v>
      </c>
      <c r="I53" s="213" t="s">
        <v>314</v>
      </c>
      <c r="J53" s="213" t="s">
        <v>315</v>
      </c>
      <c r="K53" s="214" t="s">
        <v>347</v>
      </c>
      <c r="L53" s="213" t="s">
        <v>353</v>
      </c>
      <c r="M53" s="213" t="s">
        <v>317</v>
      </c>
      <c r="N53" s="213" t="s">
        <v>314</v>
      </c>
      <c r="O53" s="213" t="s">
        <v>315</v>
      </c>
      <c r="P53" s="214" t="s">
        <v>347</v>
      </c>
      <c r="Q53" s="213" t="s">
        <v>353</v>
      </c>
      <c r="R53" s="213" t="s">
        <v>317</v>
      </c>
      <c r="S53" s="213" t="s">
        <v>314</v>
      </c>
      <c r="T53" s="213" t="s">
        <v>315</v>
      </c>
      <c r="U53" s="214" t="s">
        <v>347</v>
      </c>
      <c r="V53" s="213" t="s">
        <v>353</v>
      </c>
      <c r="W53" s="213" t="s">
        <v>317</v>
      </c>
      <c r="X53" s="213" t="s">
        <v>314</v>
      </c>
      <c r="Y53" s="213" t="s">
        <v>315</v>
      </c>
      <c r="Z53" s="214" t="s">
        <v>347</v>
      </c>
      <c r="AA53" s="213" t="s">
        <v>353</v>
      </c>
      <c r="AB53" s="213" t="s">
        <v>317</v>
      </c>
    </row>
    <row r="54" spans="2:38" ht="28.5">
      <c r="B54" s="198"/>
      <c r="C54" s="198"/>
      <c r="D54" s="198" t="s">
        <v>75</v>
      </c>
      <c r="E54" s="198" t="s">
        <v>76</v>
      </c>
      <c r="F54" s="198" t="s">
        <v>116</v>
      </c>
      <c r="G54" s="198" t="s">
        <v>78</v>
      </c>
      <c r="H54" s="198" t="s">
        <v>354</v>
      </c>
      <c r="I54" s="198" t="s">
        <v>319</v>
      </c>
      <c r="J54" s="198" t="s">
        <v>81</v>
      </c>
      <c r="K54" s="198" t="s">
        <v>82</v>
      </c>
      <c r="L54" s="198" t="s">
        <v>321</v>
      </c>
      <c r="M54" s="198" t="s">
        <v>355</v>
      </c>
      <c r="N54" s="198" t="s">
        <v>324</v>
      </c>
      <c r="O54" s="198" t="s">
        <v>325</v>
      </c>
      <c r="P54" s="198" t="s">
        <v>328</v>
      </c>
      <c r="Q54" s="198" t="s">
        <v>329</v>
      </c>
      <c r="R54" s="198" t="s">
        <v>356</v>
      </c>
      <c r="S54" s="198" t="s">
        <v>332</v>
      </c>
      <c r="T54" s="198" t="s">
        <v>333</v>
      </c>
      <c r="U54" s="198" t="s">
        <v>334</v>
      </c>
      <c r="V54" s="198" t="s">
        <v>336</v>
      </c>
      <c r="W54" s="198" t="s">
        <v>357</v>
      </c>
      <c r="X54" s="198" t="s">
        <v>337</v>
      </c>
      <c r="Y54" s="198" t="s">
        <v>338</v>
      </c>
      <c r="Z54" s="198" t="s">
        <v>340</v>
      </c>
      <c r="AA54" s="198" t="s">
        <v>341</v>
      </c>
      <c r="AB54" s="198" t="s">
        <v>362</v>
      </c>
    </row>
    <row r="55" spans="2:38">
      <c r="B55" s="272"/>
      <c r="C55" s="273"/>
      <c r="D55" s="273"/>
      <c r="E55" s="273"/>
      <c r="F55" s="273"/>
      <c r="G55" s="322"/>
      <c r="H55" s="273"/>
      <c r="I55" s="204"/>
      <c r="J55" s="204"/>
      <c r="K55" s="204"/>
      <c r="L55" s="322"/>
      <c r="M55" s="204"/>
      <c r="N55" s="204"/>
      <c r="O55" s="204"/>
      <c r="P55" s="204"/>
      <c r="Q55" s="322"/>
      <c r="R55" s="204"/>
      <c r="S55" s="204"/>
      <c r="T55" s="204"/>
      <c r="U55" s="204"/>
      <c r="V55" s="322"/>
      <c r="W55" s="204"/>
      <c r="X55" s="204"/>
      <c r="Y55" s="204"/>
      <c r="Z55" s="204"/>
      <c r="AA55" s="322"/>
      <c r="AB55" s="204"/>
    </row>
    <row r="56" spans="2:38">
      <c r="B56" s="272"/>
      <c r="C56" s="273"/>
      <c r="D56" s="273"/>
      <c r="E56" s="273"/>
      <c r="F56" s="273"/>
      <c r="G56" s="322"/>
      <c r="H56" s="273"/>
      <c r="I56" s="204"/>
      <c r="J56" s="204"/>
      <c r="K56" s="204"/>
      <c r="L56" s="322"/>
      <c r="M56" s="204"/>
      <c r="N56" s="204"/>
      <c r="O56" s="204"/>
      <c r="P56" s="204"/>
      <c r="Q56" s="322"/>
      <c r="R56" s="204"/>
      <c r="S56" s="204"/>
      <c r="T56" s="204"/>
      <c r="U56" s="204"/>
      <c r="V56" s="322"/>
      <c r="W56" s="204"/>
      <c r="X56" s="204"/>
      <c r="Y56" s="204"/>
      <c r="Z56" s="204"/>
      <c r="AA56" s="322"/>
      <c r="AB56" s="204"/>
    </row>
    <row r="57" spans="2:38">
      <c r="B57" s="272"/>
      <c r="C57" s="273"/>
      <c r="D57" s="273"/>
      <c r="E57" s="273"/>
      <c r="F57" s="273"/>
      <c r="G57" s="323"/>
      <c r="H57" s="273"/>
      <c r="I57" s="204"/>
      <c r="J57" s="204"/>
      <c r="K57" s="204"/>
      <c r="L57" s="323"/>
      <c r="M57" s="204"/>
      <c r="N57" s="204"/>
      <c r="O57" s="204"/>
      <c r="P57" s="204"/>
      <c r="Q57" s="323"/>
      <c r="R57" s="204"/>
      <c r="S57" s="204"/>
      <c r="T57" s="204"/>
      <c r="U57" s="204"/>
      <c r="V57" s="323"/>
      <c r="W57" s="204"/>
      <c r="X57" s="204"/>
      <c r="Y57" s="204"/>
      <c r="Z57" s="204"/>
      <c r="AA57" s="323"/>
      <c r="AB57" s="204"/>
    </row>
    <row r="58" spans="2:38">
      <c r="B58" s="272"/>
      <c r="C58" s="273"/>
      <c r="D58" s="273"/>
      <c r="E58" s="273"/>
      <c r="F58" s="273"/>
      <c r="G58" s="322"/>
      <c r="H58" s="273"/>
      <c r="I58" s="204"/>
      <c r="J58" s="204"/>
      <c r="K58" s="204"/>
      <c r="L58" s="322"/>
      <c r="M58" s="204"/>
      <c r="N58" s="204"/>
      <c r="O58" s="204"/>
      <c r="P58" s="204"/>
      <c r="Q58" s="322"/>
      <c r="R58" s="204"/>
      <c r="S58" s="204"/>
      <c r="T58" s="204"/>
      <c r="U58" s="204"/>
      <c r="V58" s="322"/>
      <c r="W58" s="204"/>
      <c r="X58" s="204"/>
      <c r="Y58" s="204"/>
      <c r="Z58" s="204"/>
      <c r="AA58" s="322"/>
      <c r="AB58" s="204"/>
    </row>
    <row r="59" spans="2:38">
      <c r="B59" s="272"/>
      <c r="C59" s="273"/>
      <c r="D59" s="273"/>
      <c r="E59" s="273"/>
      <c r="F59" s="273"/>
      <c r="G59" s="322"/>
      <c r="H59" s="273"/>
      <c r="I59" s="204"/>
      <c r="J59" s="204"/>
      <c r="K59" s="204"/>
      <c r="L59" s="322"/>
      <c r="M59" s="204"/>
      <c r="N59" s="204"/>
      <c r="O59" s="204"/>
      <c r="P59" s="204"/>
      <c r="Q59" s="322"/>
      <c r="R59" s="204"/>
      <c r="S59" s="204"/>
      <c r="T59" s="204"/>
      <c r="U59" s="204"/>
      <c r="V59" s="322"/>
      <c r="W59" s="204"/>
      <c r="X59" s="204"/>
      <c r="Y59" s="204"/>
      <c r="Z59" s="204"/>
      <c r="AA59" s="322"/>
      <c r="AB59" s="204"/>
    </row>
    <row r="60" spans="2:38">
      <c r="B60" s="204"/>
      <c r="C60" s="274"/>
      <c r="D60" s="274"/>
      <c r="E60" s="274"/>
      <c r="F60" s="274"/>
      <c r="G60" s="322"/>
      <c r="H60" s="274"/>
      <c r="I60" s="204"/>
      <c r="J60" s="275"/>
      <c r="K60" s="275"/>
      <c r="L60" s="322"/>
      <c r="M60" s="204"/>
      <c r="N60" s="204"/>
      <c r="O60" s="275"/>
      <c r="P60" s="275"/>
      <c r="Q60" s="322"/>
      <c r="R60" s="204"/>
      <c r="S60" s="204"/>
      <c r="T60" s="204"/>
      <c r="U60" s="204"/>
      <c r="V60" s="322"/>
      <c r="W60" s="204"/>
      <c r="X60" s="204"/>
      <c r="Y60" s="204"/>
      <c r="Z60" s="204"/>
      <c r="AA60" s="322"/>
      <c r="AB60" s="204"/>
    </row>
    <row r="61" spans="2:38" ht="18">
      <c r="B61" s="276"/>
      <c r="C61" s="239" t="s">
        <v>235</v>
      </c>
      <c r="D61" s="239"/>
      <c r="E61" s="239"/>
      <c r="F61" s="239"/>
      <c r="G61" s="324"/>
      <c r="H61" s="239"/>
      <c r="I61" s="276"/>
      <c r="J61" s="276"/>
      <c r="K61" s="276"/>
      <c r="L61" s="324"/>
      <c r="M61" s="276"/>
      <c r="N61" s="276"/>
      <c r="O61" s="276"/>
      <c r="P61" s="276"/>
      <c r="Q61" s="324"/>
      <c r="R61" s="276"/>
      <c r="S61" s="204"/>
      <c r="T61" s="275"/>
      <c r="U61" s="275"/>
      <c r="V61" s="324"/>
      <c r="W61" s="204"/>
      <c r="X61" s="204"/>
      <c r="Y61" s="275"/>
      <c r="Z61" s="275"/>
      <c r="AA61" s="324"/>
      <c r="AB61" s="204"/>
    </row>
    <row r="62" spans="2:38" ht="18">
      <c r="B62" s="277" t="s">
        <v>360</v>
      </c>
      <c r="C62" s="280"/>
      <c r="D62" s="280"/>
      <c r="E62" s="280"/>
      <c r="F62" s="280"/>
      <c r="G62" s="278"/>
      <c r="H62" s="278"/>
      <c r="I62" s="241"/>
      <c r="J62" s="241"/>
      <c r="K62" s="241"/>
      <c r="L62" s="241"/>
      <c r="M62" s="241"/>
      <c r="N62" s="241"/>
      <c r="O62" s="241"/>
      <c r="P62" s="241"/>
      <c r="Q62" s="241"/>
      <c r="R62" s="241"/>
      <c r="T62" s="279"/>
      <c r="U62" s="279"/>
      <c r="V62" s="279"/>
    </row>
    <row r="63" spans="2:38" ht="18">
      <c r="G63" s="278"/>
      <c r="H63" s="278"/>
      <c r="I63" s="241"/>
      <c r="J63" s="241"/>
      <c r="K63" s="241"/>
      <c r="L63" s="241"/>
      <c r="M63" s="241"/>
      <c r="N63" s="241"/>
      <c r="O63" s="241"/>
      <c r="P63" s="241"/>
      <c r="Q63" s="241"/>
      <c r="R63" s="241"/>
      <c r="T63" s="279"/>
      <c r="U63" s="279"/>
      <c r="V63" s="279"/>
    </row>
    <row r="64" spans="2:38" ht="18">
      <c r="B64" s="241"/>
      <c r="C64" s="278"/>
      <c r="D64" s="278"/>
      <c r="E64" s="278"/>
      <c r="F64" s="278"/>
      <c r="G64" s="278"/>
      <c r="H64" s="278"/>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row>
  </sheetData>
  <mergeCells count="36">
    <mergeCell ref="X29:AB29"/>
    <mergeCell ref="X30:AB30"/>
    <mergeCell ref="X51:AB51"/>
    <mergeCell ref="X52:AB52"/>
    <mergeCell ref="B51:B53"/>
    <mergeCell ref="C51:C53"/>
    <mergeCell ref="D51:H51"/>
    <mergeCell ref="I51:M51"/>
    <mergeCell ref="N51:R51"/>
    <mergeCell ref="S51:W51"/>
    <mergeCell ref="D52:H52"/>
    <mergeCell ref="I52:M52"/>
    <mergeCell ref="N52:R52"/>
    <mergeCell ref="S52:W52"/>
    <mergeCell ref="B29:B31"/>
    <mergeCell ref="C29:C31"/>
    <mergeCell ref="D29:H29"/>
    <mergeCell ref="I29:M29"/>
    <mergeCell ref="N29:R29"/>
    <mergeCell ref="S29:W29"/>
    <mergeCell ref="D30:H30"/>
    <mergeCell ref="I30:M30"/>
    <mergeCell ref="N30:R30"/>
    <mergeCell ref="S30:W30"/>
    <mergeCell ref="N10:R10"/>
    <mergeCell ref="S10:W10"/>
    <mergeCell ref="X10:AB10"/>
    <mergeCell ref="I11:M11"/>
    <mergeCell ref="N11:R11"/>
    <mergeCell ref="S11:W11"/>
    <mergeCell ref="X11:AB11"/>
    <mergeCell ref="B10:B12"/>
    <mergeCell ref="C10:C12"/>
    <mergeCell ref="D10:H10"/>
    <mergeCell ref="D11:H11"/>
    <mergeCell ref="I10:M10"/>
  </mergeCells>
  <pageMargins left="0.7" right="0.7" top="0.75" bottom="0.75" header="0.3" footer="0.3"/>
  <pageSetup scale="24" pageOrder="overThenDown" orientation="landscape" r:id="rId1"/>
</worksheet>
</file>

<file path=xl/worksheets/sheet19.xml><?xml version="1.0" encoding="utf-8"?>
<worksheet xmlns="http://schemas.openxmlformats.org/spreadsheetml/2006/main" xmlns:r="http://schemas.openxmlformats.org/officeDocument/2006/relationships">
  <dimension ref="B2:U116"/>
  <sheetViews>
    <sheetView showGridLines="0" view="pageBreakPreview" topLeftCell="H91" zoomScale="80" zoomScaleNormal="75" zoomScaleSheetLayoutView="80" workbookViewId="0">
      <selection activeCell="M21" sqref="M21:Q21"/>
    </sheetView>
  </sheetViews>
  <sheetFormatPr defaultColWidth="9.28515625" defaultRowHeight="15"/>
  <cols>
    <col min="1" max="1" width="6.7109375" style="17" customWidth="1"/>
    <col min="2" max="2" width="7" style="17" customWidth="1"/>
    <col min="3" max="3" width="96.7109375" style="17" customWidth="1"/>
    <col min="4" max="6" width="16.7109375" style="17" customWidth="1"/>
    <col min="7" max="7" width="14.42578125" style="17" customWidth="1"/>
    <col min="8" max="8" width="17.42578125" style="17" customWidth="1"/>
    <col min="9" max="9" width="16" style="17" customWidth="1"/>
    <col min="10" max="11" width="15" style="17" customWidth="1"/>
    <col min="12" max="12" width="16" style="17" customWidth="1"/>
    <col min="13" max="13" width="15" style="17" customWidth="1"/>
    <col min="14" max="17" width="16.42578125" style="17" customWidth="1"/>
    <col min="18" max="20" width="18.7109375" style="17" customWidth="1"/>
    <col min="21" max="16384" width="9.28515625" style="17"/>
  </cols>
  <sheetData>
    <row r="2" spans="2:21">
      <c r="G2" s="81" t="s">
        <v>0</v>
      </c>
      <c r="H2" s="18"/>
      <c r="I2" s="18"/>
      <c r="J2" s="18"/>
      <c r="K2" s="18"/>
      <c r="L2" s="18"/>
      <c r="M2" s="18"/>
      <c r="N2" s="18"/>
      <c r="O2" s="18"/>
      <c r="P2" s="18"/>
      <c r="Q2" s="18"/>
    </row>
    <row r="3" spans="2:21" s="19" customFormat="1">
      <c r="G3" s="88" t="s">
        <v>1</v>
      </c>
      <c r="H3" s="20"/>
      <c r="I3" s="20"/>
      <c r="J3" s="20"/>
      <c r="K3" s="20"/>
      <c r="L3" s="20"/>
      <c r="M3" s="20"/>
      <c r="N3" s="20"/>
      <c r="O3" s="20"/>
      <c r="P3" s="20"/>
      <c r="Q3" s="20"/>
    </row>
    <row r="4" spans="2:21" s="19" customFormat="1">
      <c r="G4" s="61" t="s">
        <v>363</v>
      </c>
      <c r="H4" s="20"/>
      <c r="I4" s="38"/>
      <c r="J4" s="38"/>
      <c r="K4" s="20"/>
      <c r="L4" s="20"/>
      <c r="M4" s="20"/>
      <c r="N4" s="20"/>
      <c r="O4" s="20"/>
      <c r="P4" s="20"/>
      <c r="Q4" s="20"/>
    </row>
    <row r="5" spans="2:21" s="19" customFormat="1">
      <c r="C5" s="21"/>
      <c r="D5" s="21"/>
      <c r="E5" s="21"/>
      <c r="F5" s="21"/>
      <c r="G5" s="21"/>
      <c r="H5" s="20"/>
      <c r="I5" s="37"/>
      <c r="J5" s="38"/>
      <c r="K5" s="20"/>
      <c r="L5" s="20"/>
      <c r="M5" s="20"/>
      <c r="N5" s="20"/>
      <c r="O5" s="20"/>
      <c r="P5" s="20"/>
      <c r="Q5" s="20"/>
    </row>
    <row r="6" spans="2:21" s="19" customFormat="1">
      <c r="B6" s="56"/>
      <c r="C6" s="173" t="s">
        <v>364</v>
      </c>
      <c r="D6" s="173"/>
      <c r="E6" s="173"/>
      <c r="F6" s="173"/>
      <c r="G6" s="173"/>
      <c r="H6" s="20"/>
      <c r="I6" s="20"/>
      <c r="J6" s="20"/>
      <c r="K6" s="37"/>
      <c r="L6" s="37"/>
      <c r="M6" s="38"/>
      <c r="N6" s="20"/>
      <c r="O6" s="20"/>
      <c r="P6" s="20"/>
      <c r="Q6" s="20"/>
      <c r="R6" s="20"/>
      <c r="S6" s="20"/>
      <c r="T6" s="20"/>
    </row>
    <row r="7" spans="2:21" s="19" customFormat="1">
      <c r="B7" s="56"/>
      <c r="C7" s="21"/>
      <c r="D7" s="21"/>
      <c r="E7" s="21"/>
      <c r="F7" s="21"/>
      <c r="G7" s="21"/>
      <c r="H7" s="20"/>
      <c r="I7" s="20"/>
      <c r="J7" s="20"/>
      <c r="K7" s="37"/>
      <c r="L7" s="37"/>
      <c r="M7" s="38"/>
      <c r="N7" s="20"/>
      <c r="O7" s="20"/>
      <c r="P7" s="20"/>
      <c r="Q7" s="20"/>
      <c r="R7" s="22" t="s">
        <v>56</v>
      </c>
      <c r="S7" s="20"/>
      <c r="T7" s="20"/>
    </row>
    <row r="8" spans="2:21" ht="15" customHeight="1">
      <c r="B8" s="959" t="s">
        <v>365</v>
      </c>
      <c r="C8" s="959" t="s">
        <v>366</v>
      </c>
      <c r="D8" s="963" t="s">
        <v>58</v>
      </c>
      <c r="E8" s="964"/>
      <c r="F8" s="965"/>
      <c r="G8" s="963" t="s">
        <v>59</v>
      </c>
      <c r="H8" s="964"/>
      <c r="I8" s="965"/>
      <c r="J8" s="963" t="s">
        <v>60</v>
      </c>
      <c r="K8" s="964"/>
      <c r="L8" s="965"/>
      <c r="M8" s="963" t="s">
        <v>367</v>
      </c>
      <c r="N8" s="964"/>
      <c r="O8" s="964"/>
      <c r="P8" s="964"/>
      <c r="Q8" s="965"/>
      <c r="R8" s="1005" t="s">
        <v>62</v>
      </c>
      <c r="S8" s="25"/>
      <c r="T8" s="25"/>
      <c r="U8" s="25"/>
    </row>
    <row r="9" spans="2:21" ht="56.25" customHeight="1">
      <c r="B9" s="959"/>
      <c r="C9" s="959"/>
      <c r="D9" s="198" t="s">
        <v>63</v>
      </c>
      <c r="E9" s="198" t="s">
        <v>64</v>
      </c>
      <c r="F9" s="198" t="s">
        <v>65</v>
      </c>
      <c r="G9" s="198" t="s">
        <v>63</v>
      </c>
      <c r="H9" s="198" t="s">
        <v>64</v>
      </c>
      <c r="I9" s="198" t="s">
        <v>65</v>
      </c>
      <c r="J9" s="198" t="s">
        <v>63</v>
      </c>
      <c r="K9" s="198" t="s">
        <v>295</v>
      </c>
      <c r="L9" s="198" t="s">
        <v>69</v>
      </c>
      <c r="M9" s="198" t="s">
        <v>70</v>
      </c>
      <c r="N9" s="198" t="s">
        <v>71</v>
      </c>
      <c r="O9" s="198" t="s">
        <v>72</v>
      </c>
      <c r="P9" s="198" t="s">
        <v>73</v>
      </c>
      <c r="Q9" s="198" t="s">
        <v>74</v>
      </c>
      <c r="R9" s="1035"/>
      <c r="S9" s="26"/>
      <c r="T9" s="26"/>
      <c r="U9" s="26"/>
    </row>
    <row r="10" spans="2:21" ht="31.5" customHeight="1">
      <c r="B10" s="150"/>
      <c r="C10" s="150"/>
      <c r="D10" s="198" t="s">
        <v>75</v>
      </c>
      <c r="E10" s="198" t="s">
        <v>76</v>
      </c>
      <c r="F10" s="198" t="s">
        <v>77</v>
      </c>
      <c r="G10" s="198" t="s">
        <v>78</v>
      </c>
      <c r="H10" s="198" t="s">
        <v>79</v>
      </c>
      <c r="I10" s="198" t="s">
        <v>80</v>
      </c>
      <c r="J10" s="198" t="s">
        <v>81</v>
      </c>
      <c r="K10" s="198" t="s">
        <v>82</v>
      </c>
      <c r="L10" s="198" t="s">
        <v>368</v>
      </c>
      <c r="M10" s="198" t="s">
        <v>86</v>
      </c>
      <c r="N10" s="198" t="s">
        <v>86</v>
      </c>
      <c r="O10" s="198" t="s">
        <v>86</v>
      </c>
      <c r="P10" s="198" t="s">
        <v>86</v>
      </c>
      <c r="Q10" s="198" t="s">
        <v>86</v>
      </c>
      <c r="R10" s="215"/>
      <c r="S10" s="26"/>
      <c r="T10" s="26"/>
      <c r="U10" s="26"/>
    </row>
    <row r="11" spans="2:21">
      <c r="B11" s="33">
        <v>1</v>
      </c>
      <c r="C11" s="27" t="s">
        <v>369</v>
      </c>
      <c r="D11" s="466"/>
      <c r="E11" s="466"/>
      <c r="F11" s="466"/>
      <c r="G11" s="466"/>
      <c r="H11" s="467"/>
      <c r="I11" s="467"/>
      <c r="J11" s="467"/>
      <c r="K11" s="467"/>
      <c r="L11" s="467"/>
      <c r="M11" s="467"/>
      <c r="N11" s="467"/>
      <c r="O11" s="467"/>
      <c r="P11" s="467"/>
      <c r="Q11" s="467"/>
      <c r="R11" s="24"/>
      <c r="S11" s="26"/>
      <c r="T11" s="26"/>
      <c r="U11" s="26"/>
    </row>
    <row r="12" spans="2:21">
      <c r="B12" s="33">
        <f>B11+1</f>
        <v>2</v>
      </c>
      <c r="C12" s="27" t="s">
        <v>370</v>
      </c>
      <c r="D12" s="466"/>
      <c r="E12" s="466"/>
      <c r="F12" s="466"/>
      <c r="G12" s="466"/>
      <c r="H12" s="467"/>
      <c r="I12" s="467"/>
      <c r="J12" s="467"/>
      <c r="K12" s="467"/>
      <c r="L12" s="467"/>
      <c r="M12" s="467"/>
      <c r="N12" s="467"/>
      <c r="O12" s="467"/>
      <c r="P12" s="467"/>
      <c r="Q12" s="467"/>
      <c r="R12" s="24"/>
      <c r="S12" s="26"/>
      <c r="T12" s="26"/>
      <c r="U12" s="26"/>
    </row>
    <row r="13" spans="2:21">
      <c r="B13" s="33">
        <f t="shared" ref="B13:B18" si="0">B12+1</f>
        <v>3</v>
      </c>
      <c r="C13" s="27" t="s">
        <v>371</v>
      </c>
      <c r="D13" s="466">
        <v>730.92</v>
      </c>
      <c r="E13" s="466">
        <v>730.92</v>
      </c>
      <c r="F13" s="466"/>
      <c r="G13" s="466">
        <f>D17</f>
        <v>615.31999999999994</v>
      </c>
      <c r="H13" s="467">
        <f>E17</f>
        <v>615.31999999999994</v>
      </c>
      <c r="I13" s="467"/>
      <c r="J13" s="466">
        <f>G17</f>
        <v>499.81999999999994</v>
      </c>
      <c r="K13" s="467">
        <f>H17</f>
        <v>499.80999999999995</v>
      </c>
      <c r="L13" s="467"/>
      <c r="M13" s="626">
        <f>K17</f>
        <v>385.67999999999995</v>
      </c>
      <c r="N13" s="625">
        <f ca="1">M17</f>
        <v>271.54999999999995</v>
      </c>
      <c r="O13" s="625">
        <f t="shared" ref="O13:Q13" ca="1" si="1">N17</f>
        <v>8310.8884475637587</v>
      </c>
      <c r="P13" s="625">
        <f t="shared" ca="1" si="1"/>
        <v>12331.530663630645</v>
      </c>
      <c r="Q13" s="625">
        <f t="shared" ca="1" si="1"/>
        <v>13709.621879697532</v>
      </c>
      <c r="R13" s="24"/>
      <c r="S13" s="26"/>
      <c r="T13" s="26"/>
      <c r="U13" s="26"/>
    </row>
    <row r="14" spans="2:21">
      <c r="B14" s="33">
        <f t="shared" si="0"/>
        <v>4</v>
      </c>
      <c r="C14" s="27" t="s">
        <v>372</v>
      </c>
      <c r="D14" s="466"/>
      <c r="E14" s="466"/>
      <c r="F14" s="466"/>
      <c r="G14" s="466"/>
      <c r="H14" s="467"/>
      <c r="I14" s="467"/>
      <c r="J14" s="467"/>
      <c r="K14" s="467"/>
      <c r="L14" s="467"/>
      <c r="M14" s="625"/>
      <c r="N14" s="625"/>
      <c r="O14" s="625"/>
      <c r="P14" s="625"/>
      <c r="Q14" s="625"/>
      <c r="R14" s="24"/>
      <c r="S14" s="26"/>
      <c r="T14" s="26"/>
      <c r="U14" s="26"/>
    </row>
    <row r="15" spans="2:21">
      <c r="B15" s="33">
        <f t="shared" si="0"/>
        <v>5</v>
      </c>
      <c r="C15" s="27" t="s">
        <v>373</v>
      </c>
      <c r="D15" s="466"/>
      <c r="E15" s="466"/>
      <c r="F15" s="466"/>
      <c r="G15" s="466"/>
      <c r="H15" s="467"/>
      <c r="I15" s="467"/>
      <c r="J15" s="467"/>
      <c r="K15" s="467"/>
      <c r="L15" s="467"/>
      <c r="M15" s="625">
        <f ca="1">0.7*'F17'!F21</f>
        <v>0</v>
      </c>
      <c r="N15" s="625">
        <f ca="1">0.7*'F17'!G21</f>
        <v>8696.1387145303161</v>
      </c>
      <c r="O15" s="625">
        <f>0.7*'F17'!H21</f>
        <v>5642</v>
      </c>
      <c r="P15" s="625">
        <f>0.7*'F17'!I21</f>
        <v>3720.4999999999995</v>
      </c>
      <c r="Q15" s="625">
        <f>0.7*'F17'!J21</f>
        <v>2675.3999999999996</v>
      </c>
      <c r="R15" s="24"/>
      <c r="S15" s="26"/>
      <c r="T15" s="26"/>
      <c r="U15" s="26"/>
    </row>
    <row r="16" spans="2:21">
      <c r="B16" s="33">
        <f t="shared" si="0"/>
        <v>6</v>
      </c>
      <c r="C16" s="27" t="s">
        <v>374</v>
      </c>
      <c r="D16" s="466">
        <v>115.6</v>
      </c>
      <c r="E16" s="466">
        <f>'F4'!E60</f>
        <v>115.6</v>
      </c>
      <c r="F16" s="466"/>
      <c r="G16" s="466">
        <v>115.51</v>
      </c>
      <c r="H16" s="467">
        <f>'F4'!I60</f>
        <v>115.51</v>
      </c>
      <c r="I16" s="467"/>
      <c r="J16" s="467">
        <v>114.13</v>
      </c>
      <c r="K16" s="467">
        <f>'F4'!M60</f>
        <v>114.13</v>
      </c>
      <c r="L16" s="467"/>
      <c r="M16" s="625">
        <f ca="1">'F4'!Q60</f>
        <v>114.13</v>
      </c>
      <c r="N16" s="625">
        <f ca="1">'F4'!E76</f>
        <v>656.80026696655671</v>
      </c>
      <c r="O16" s="625">
        <f ca="1">'F4'!I76</f>
        <v>1621.3577839331133</v>
      </c>
      <c r="P16" s="625">
        <f ca="1">'F4'!M76</f>
        <v>2342.4087839331132</v>
      </c>
      <c r="Q16" s="625">
        <f ca="1">'F4'!Q76</f>
        <v>2924.1807339331131</v>
      </c>
      <c r="R16" s="24"/>
      <c r="S16" s="26"/>
      <c r="T16" s="26"/>
      <c r="U16" s="26"/>
    </row>
    <row r="17" spans="2:21">
      <c r="B17" s="33">
        <f t="shared" si="0"/>
        <v>7</v>
      </c>
      <c r="C17" s="27" t="s">
        <v>375</v>
      </c>
      <c r="D17" s="466">
        <f>D13+D15-D16</f>
        <v>615.31999999999994</v>
      </c>
      <c r="E17" s="466">
        <f>E13+E15-E16</f>
        <v>615.31999999999994</v>
      </c>
      <c r="F17" s="466">
        <f t="shared" ref="F17:O17" si="2">F13+F15-F16</f>
        <v>0</v>
      </c>
      <c r="G17" s="466">
        <f>G13+G15-G16+0.01</f>
        <v>499.81999999999994</v>
      </c>
      <c r="H17" s="466">
        <f t="shared" si="2"/>
        <v>499.80999999999995</v>
      </c>
      <c r="I17" s="466">
        <f t="shared" si="2"/>
        <v>0</v>
      </c>
      <c r="J17" s="466">
        <f t="shared" si="2"/>
        <v>385.68999999999994</v>
      </c>
      <c r="K17" s="466">
        <f t="shared" si="2"/>
        <v>385.67999999999995</v>
      </c>
      <c r="L17" s="466">
        <f t="shared" si="2"/>
        <v>0</v>
      </c>
      <c r="M17" s="626">
        <f t="shared" ca="1" si="2"/>
        <v>271.54999999999995</v>
      </c>
      <c r="N17" s="626">
        <f t="shared" ca="1" si="2"/>
        <v>8310.8884475637587</v>
      </c>
      <c r="O17" s="626">
        <f t="shared" ca="1" si="2"/>
        <v>12331.530663630645</v>
      </c>
      <c r="P17" s="626">
        <f ca="1">IF(P13+P15-P16&lt;0,0,P13+P15-P16)</f>
        <v>13709.621879697532</v>
      </c>
      <c r="Q17" s="626">
        <f ca="1">IF(Q13+Q15-Q16&lt;0,0,Q13+Q15-Q16)</f>
        <v>13460.841145764418</v>
      </c>
      <c r="R17" s="24"/>
      <c r="S17" s="26"/>
      <c r="T17" s="26"/>
      <c r="U17" s="26"/>
    </row>
    <row r="18" spans="2:21">
      <c r="B18" s="33">
        <f t="shared" si="0"/>
        <v>8</v>
      </c>
      <c r="C18" s="27" t="s">
        <v>376</v>
      </c>
      <c r="D18" s="468"/>
      <c r="E18" s="466"/>
      <c r="F18" s="466"/>
      <c r="G18" s="466"/>
      <c r="H18" s="467"/>
      <c r="I18" s="467"/>
      <c r="J18" s="467"/>
      <c r="K18" s="467"/>
      <c r="L18" s="467"/>
      <c r="M18" s="625"/>
      <c r="N18" s="625"/>
      <c r="O18" s="625"/>
      <c r="P18" s="625"/>
      <c r="Q18" s="625"/>
      <c r="R18" s="24"/>
      <c r="S18" s="26"/>
      <c r="T18" s="26"/>
      <c r="U18" s="26"/>
    </row>
    <row r="19" spans="2:21">
      <c r="B19" s="33">
        <v>9</v>
      </c>
      <c r="C19" s="27" t="s">
        <v>377</v>
      </c>
      <c r="D19" s="466">
        <f>AVERAGE(D13,D17)</f>
        <v>673.11999999999989</v>
      </c>
      <c r="E19" s="466">
        <f t="shared" ref="E19:Q19" si="3">AVERAGE(E13,E17)</f>
        <v>673.11999999999989</v>
      </c>
      <c r="F19" s="466">
        <f t="shared" si="3"/>
        <v>0</v>
      </c>
      <c r="G19" s="466">
        <f t="shared" si="3"/>
        <v>557.56999999999994</v>
      </c>
      <c r="H19" s="466">
        <f t="shared" si="3"/>
        <v>557.56499999999994</v>
      </c>
      <c r="I19" s="466">
        <f t="shared" si="3"/>
        <v>0</v>
      </c>
      <c r="J19" s="466">
        <f t="shared" si="3"/>
        <v>442.75499999999994</v>
      </c>
      <c r="K19" s="466">
        <f t="shared" si="3"/>
        <v>442.74499999999995</v>
      </c>
      <c r="L19" s="466">
        <f t="shared" si="3"/>
        <v>0</v>
      </c>
      <c r="M19" s="626">
        <f t="shared" ca="1" si="3"/>
        <v>328.61499999999995</v>
      </c>
      <c r="N19" s="626">
        <f t="shared" ca="1" si="3"/>
        <v>4291.219223781879</v>
      </c>
      <c r="O19" s="626">
        <f t="shared" ca="1" si="3"/>
        <v>10321.209555597201</v>
      </c>
      <c r="P19" s="626">
        <f t="shared" ca="1" si="3"/>
        <v>13020.576271664089</v>
      </c>
      <c r="Q19" s="626">
        <f t="shared" ca="1" si="3"/>
        <v>13585.231512730974</v>
      </c>
      <c r="R19" s="24"/>
      <c r="S19" s="26"/>
      <c r="T19" s="26"/>
      <c r="U19" s="26"/>
    </row>
    <row r="20" spans="2:21" ht="16.5">
      <c r="B20" s="33">
        <v>10</v>
      </c>
      <c r="C20" s="174" t="s">
        <v>378</v>
      </c>
      <c r="D20" s="469">
        <v>8.9300000000000004E-2</v>
      </c>
      <c r="E20" s="947">
        <f>0.0905</f>
        <v>9.0499999999999997E-2</v>
      </c>
      <c r="F20" s="470"/>
      <c r="G20" s="469">
        <v>8.9300000000000004E-2</v>
      </c>
      <c r="H20" s="471">
        <f>0.0936</f>
        <v>9.3600000000000003E-2</v>
      </c>
      <c r="I20" s="467"/>
      <c r="J20" s="471">
        <v>8.9300000000000004E-2</v>
      </c>
      <c r="K20" s="471">
        <f>H20</f>
        <v>9.3600000000000003E-2</v>
      </c>
      <c r="L20" s="467"/>
      <c r="M20" s="471">
        <f>K20</f>
        <v>9.3600000000000003E-2</v>
      </c>
      <c r="N20" s="471">
        <f>M20</f>
        <v>9.3600000000000003E-2</v>
      </c>
      <c r="O20" s="471">
        <f t="shared" ref="O20:Q20" si="4">N20</f>
        <v>9.3600000000000003E-2</v>
      </c>
      <c r="P20" s="471">
        <f t="shared" si="4"/>
        <v>9.3600000000000003E-2</v>
      </c>
      <c r="Q20" s="471">
        <f t="shared" si="4"/>
        <v>9.3600000000000003E-2</v>
      </c>
      <c r="R20" s="24"/>
      <c r="S20" s="26"/>
      <c r="T20" s="26"/>
      <c r="U20" s="26"/>
    </row>
    <row r="21" spans="2:21" ht="16.5">
      <c r="B21" s="33">
        <v>11</v>
      </c>
      <c r="C21" s="174" t="s">
        <v>379</v>
      </c>
      <c r="D21" s="472">
        <f>D19*D20</f>
        <v>60.109615999999995</v>
      </c>
      <c r="E21" s="472">
        <f t="shared" ref="E21:Q21" si="5">E19*E20</f>
        <v>60.917359999999988</v>
      </c>
      <c r="F21" s="472">
        <f t="shared" si="5"/>
        <v>0</v>
      </c>
      <c r="G21" s="472">
        <f t="shared" si="5"/>
        <v>49.791000999999994</v>
      </c>
      <c r="H21" s="472">
        <f t="shared" si="5"/>
        <v>52.188083999999996</v>
      </c>
      <c r="I21" s="472">
        <f t="shared" si="5"/>
        <v>0</v>
      </c>
      <c r="J21" s="472">
        <f t="shared" si="5"/>
        <v>39.538021499999999</v>
      </c>
      <c r="K21" s="472">
        <f t="shared" si="5"/>
        <v>41.440931999999997</v>
      </c>
      <c r="L21" s="472">
        <f t="shared" si="5"/>
        <v>0</v>
      </c>
      <c r="M21" s="472">
        <f t="shared" ca="1" si="5"/>
        <v>30.758363999999997</v>
      </c>
      <c r="N21" s="472">
        <f t="shared" ca="1" si="5"/>
        <v>401.65811934598389</v>
      </c>
      <c r="O21" s="472">
        <f t="shared" ca="1" si="5"/>
        <v>966.06521440389804</v>
      </c>
      <c r="P21" s="472">
        <f t="shared" ca="1" si="5"/>
        <v>1218.7259390277588</v>
      </c>
      <c r="Q21" s="472">
        <f t="shared" ca="1" si="5"/>
        <v>1271.5776695916193</v>
      </c>
      <c r="R21" s="24"/>
      <c r="S21" s="26"/>
      <c r="T21" s="26"/>
      <c r="U21" s="26"/>
    </row>
    <row r="22" spans="2:21">
      <c r="B22" s="33">
        <v>12</v>
      </c>
      <c r="C22" s="27" t="s">
        <v>380</v>
      </c>
      <c r="D22" s="466"/>
      <c r="E22" s="466"/>
      <c r="F22" s="466"/>
      <c r="G22" s="466"/>
      <c r="H22" s="467"/>
      <c r="I22" s="467"/>
      <c r="J22" s="467"/>
      <c r="K22" s="467"/>
      <c r="L22" s="467"/>
      <c r="M22" s="467"/>
      <c r="N22" s="467"/>
      <c r="O22" s="467"/>
      <c r="P22" s="467"/>
      <c r="Q22" s="467"/>
      <c r="R22" s="24"/>
      <c r="S22" s="26"/>
      <c r="T22" s="26"/>
      <c r="U22" s="26"/>
    </row>
    <row r="23" spans="2:21">
      <c r="B23" s="44">
        <v>13</v>
      </c>
      <c r="C23" s="28" t="s">
        <v>381</v>
      </c>
      <c r="D23" s="473"/>
      <c r="E23" s="473"/>
      <c r="F23" s="473"/>
      <c r="G23" s="473"/>
      <c r="H23" s="474"/>
      <c r="I23" s="474"/>
      <c r="J23" s="474"/>
      <c r="K23" s="474"/>
      <c r="L23" s="474"/>
      <c r="M23" s="474"/>
      <c r="N23" s="474"/>
      <c r="O23" s="474"/>
      <c r="P23" s="474"/>
      <c r="Q23" s="474"/>
      <c r="R23" s="29"/>
      <c r="S23" s="26"/>
      <c r="T23" s="26"/>
      <c r="U23" s="26"/>
    </row>
    <row r="24" spans="2:21" s="19" customFormat="1">
      <c r="B24" s="56"/>
      <c r="C24" s="21"/>
      <c r="D24" s="21"/>
      <c r="E24" s="21"/>
      <c r="F24" s="21"/>
      <c r="G24" s="21"/>
      <c r="H24" s="20"/>
      <c r="I24" s="20"/>
      <c r="J24" s="20"/>
      <c r="K24" s="37"/>
      <c r="L24" s="37"/>
      <c r="M24" s="38"/>
      <c r="N24" s="20"/>
      <c r="O24" s="20"/>
      <c r="P24" s="20"/>
      <c r="Q24" s="20"/>
      <c r="R24" s="20"/>
      <c r="S24" s="20"/>
      <c r="T24" s="20"/>
    </row>
    <row r="25" spans="2:21">
      <c r="B25" s="57"/>
      <c r="C25" s="173" t="s">
        <v>382</v>
      </c>
      <c r="D25" s="173"/>
      <c r="E25" s="173"/>
      <c r="F25" s="173"/>
      <c r="G25" s="173"/>
    </row>
    <row r="26" spans="2:21">
      <c r="B26" s="57"/>
      <c r="R26" s="22" t="s">
        <v>56</v>
      </c>
      <c r="T26" s="22"/>
    </row>
    <row r="27" spans="2:21" ht="15" customHeight="1">
      <c r="B27" s="959" t="s">
        <v>365</v>
      </c>
      <c r="C27" s="959" t="s">
        <v>366</v>
      </c>
      <c r="D27" s="963" t="s">
        <v>58</v>
      </c>
      <c r="E27" s="964"/>
      <c r="F27" s="965"/>
      <c r="G27" s="963" t="s">
        <v>59</v>
      </c>
      <c r="H27" s="964"/>
      <c r="I27" s="965"/>
      <c r="J27" s="963" t="s">
        <v>60</v>
      </c>
      <c r="K27" s="964"/>
      <c r="L27" s="965"/>
      <c r="M27" s="963" t="s">
        <v>367</v>
      </c>
      <c r="N27" s="964"/>
      <c r="O27" s="964"/>
      <c r="P27" s="964"/>
      <c r="Q27" s="965"/>
      <c r="R27" s="1005" t="s">
        <v>62</v>
      </c>
      <c r="S27" s="25"/>
      <c r="T27" s="25"/>
      <c r="U27" s="25"/>
    </row>
    <row r="28" spans="2:21" ht="42.75">
      <c r="B28" s="959"/>
      <c r="C28" s="959"/>
      <c r="D28" s="198" t="s">
        <v>63</v>
      </c>
      <c r="E28" s="198" t="s">
        <v>64</v>
      </c>
      <c r="F28" s="198" t="s">
        <v>65</v>
      </c>
      <c r="G28" s="198" t="s">
        <v>63</v>
      </c>
      <c r="H28" s="198" t="s">
        <v>64</v>
      </c>
      <c r="I28" s="198" t="s">
        <v>65</v>
      </c>
      <c r="J28" s="198" t="s">
        <v>63</v>
      </c>
      <c r="K28" s="198" t="s">
        <v>295</v>
      </c>
      <c r="L28" s="198" t="s">
        <v>69</v>
      </c>
      <c r="M28" s="198" t="s">
        <v>70</v>
      </c>
      <c r="N28" s="198" t="s">
        <v>71</v>
      </c>
      <c r="O28" s="198" t="s">
        <v>72</v>
      </c>
      <c r="P28" s="198" t="s">
        <v>73</v>
      </c>
      <c r="Q28" s="198" t="s">
        <v>74</v>
      </c>
      <c r="R28" s="1035"/>
      <c r="S28" s="26"/>
      <c r="T28" s="26"/>
      <c r="U28" s="26"/>
    </row>
    <row r="29" spans="2:21">
      <c r="B29" s="105"/>
      <c r="C29" s="106"/>
      <c r="D29" s="198" t="s">
        <v>75</v>
      </c>
      <c r="E29" s="198" t="s">
        <v>76</v>
      </c>
      <c r="F29" s="198" t="s">
        <v>77</v>
      </c>
      <c r="G29" s="198" t="s">
        <v>78</v>
      </c>
      <c r="H29" s="198" t="s">
        <v>79</v>
      </c>
      <c r="I29" s="198" t="s">
        <v>80</v>
      </c>
      <c r="J29" s="198" t="s">
        <v>81</v>
      </c>
      <c r="K29" s="198" t="s">
        <v>82</v>
      </c>
      <c r="L29" s="198" t="s">
        <v>368</v>
      </c>
      <c r="M29" s="198" t="s">
        <v>86</v>
      </c>
      <c r="N29" s="198" t="s">
        <v>86</v>
      </c>
      <c r="O29" s="198" t="s">
        <v>86</v>
      </c>
      <c r="P29" s="198" t="s">
        <v>86</v>
      </c>
      <c r="Q29" s="198" t="s">
        <v>86</v>
      </c>
      <c r="R29" s="215"/>
      <c r="S29" s="26"/>
      <c r="T29" s="26"/>
      <c r="U29" s="26"/>
    </row>
    <row r="30" spans="2:21">
      <c r="B30" s="44">
        <v>1</v>
      </c>
      <c r="C30" s="28" t="s">
        <v>383</v>
      </c>
      <c r="D30" s="28"/>
      <c r="E30" s="28"/>
      <c r="F30" s="28"/>
      <c r="G30" s="28"/>
      <c r="H30" s="24"/>
      <c r="I30" s="24"/>
      <c r="J30" s="24"/>
      <c r="K30" s="24"/>
      <c r="L30" s="24"/>
      <c r="M30" s="24"/>
      <c r="N30" s="24"/>
      <c r="O30" s="24"/>
      <c r="P30" s="24"/>
      <c r="Q30" s="24"/>
      <c r="R30" s="24"/>
      <c r="S30" s="26"/>
      <c r="T30" s="26"/>
      <c r="U30" s="26"/>
    </row>
    <row r="31" spans="2:21">
      <c r="B31" s="33">
        <v>1.1000000000000001</v>
      </c>
      <c r="C31" s="27" t="s">
        <v>384</v>
      </c>
      <c r="D31" s="27"/>
      <c r="E31" s="27"/>
      <c r="F31" s="27"/>
      <c r="G31" s="27"/>
      <c r="H31" s="24"/>
      <c r="I31" s="24"/>
      <c r="J31" s="24"/>
      <c r="K31" s="24"/>
      <c r="L31" s="24"/>
      <c r="M31" s="24"/>
      <c r="N31" s="24"/>
      <c r="O31" s="24"/>
      <c r="P31" s="24"/>
      <c r="Q31" s="24"/>
      <c r="R31" s="24"/>
      <c r="S31" s="26"/>
      <c r="T31" s="26"/>
      <c r="U31" s="26"/>
    </row>
    <row r="32" spans="2:21">
      <c r="B32" s="33">
        <f t="shared" ref="B32:B35" si="6">B31+0.1</f>
        <v>1.2000000000000002</v>
      </c>
      <c r="C32" s="27" t="s">
        <v>372</v>
      </c>
      <c r="D32" s="27"/>
      <c r="E32" s="27"/>
      <c r="F32" s="27"/>
      <c r="G32" s="27"/>
      <c r="H32" s="24"/>
      <c r="I32" s="24"/>
      <c r="J32" s="24"/>
      <c r="K32" s="24"/>
      <c r="L32" s="24"/>
      <c r="M32" s="24"/>
      <c r="N32" s="24"/>
      <c r="O32" s="24"/>
      <c r="P32" s="24"/>
      <c r="Q32" s="24"/>
      <c r="R32" s="24"/>
      <c r="S32" s="26"/>
      <c r="T32" s="26"/>
      <c r="U32" s="26"/>
    </row>
    <row r="33" spans="2:21">
      <c r="B33" s="33">
        <f t="shared" si="6"/>
        <v>1.3000000000000003</v>
      </c>
      <c r="C33" s="27" t="s">
        <v>385</v>
      </c>
      <c r="D33" s="27"/>
      <c r="E33" s="27"/>
      <c r="F33" s="27"/>
      <c r="G33" s="27"/>
      <c r="H33" s="24"/>
      <c r="I33" s="24"/>
      <c r="J33" s="24"/>
      <c r="K33" s="24"/>
      <c r="L33" s="24"/>
      <c r="M33" s="24"/>
      <c r="N33" s="24"/>
      <c r="O33" s="24"/>
      <c r="P33" s="24"/>
      <c r="Q33" s="24"/>
      <c r="R33" s="24"/>
      <c r="S33" s="26"/>
      <c r="T33" s="26"/>
      <c r="U33" s="26"/>
    </row>
    <row r="34" spans="2:21">
      <c r="B34" s="33">
        <f t="shared" si="6"/>
        <v>1.4000000000000004</v>
      </c>
      <c r="C34" s="27" t="s">
        <v>386</v>
      </c>
      <c r="D34" s="27"/>
      <c r="E34" s="27"/>
      <c r="F34" s="27"/>
      <c r="G34" s="27"/>
      <c r="H34" s="24"/>
      <c r="I34" s="24"/>
      <c r="J34" s="24"/>
      <c r="K34" s="24"/>
      <c r="L34" s="24"/>
      <c r="M34" s="24"/>
      <c r="N34" s="24"/>
      <c r="O34" s="24"/>
      <c r="P34" s="24"/>
      <c r="Q34" s="24"/>
      <c r="R34" s="24"/>
      <c r="S34" s="26"/>
      <c r="T34" s="26"/>
      <c r="U34" s="26"/>
    </row>
    <row r="35" spans="2:21">
      <c r="B35" s="33">
        <f t="shared" si="6"/>
        <v>1.5000000000000004</v>
      </c>
      <c r="C35" s="27" t="s">
        <v>387</v>
      </c>
      <c r="D35" s="27"/>
      <c r="E35" s="27"/>
      <c r="F35" s="27"/>
      <c r="G35" s="27"/>
      <c r="H35" s="24"/>
      <c r="I35" s="24"/>
      <c r="J35" s="24"/>
      <c r="K35" s="24"/>
      <c r="L35" s="24"/>
      <c r="M35" s="24"/>
      <c r="N35" s="24"/>
      <c r="O35" s="24"/>
      <c r="P35" s="24"/>
      <c r="Q35" s="24"/>
      <c r="R35" s="24"/>
      <c r="S35" s="26"/>
      <c r="T35" s="26"/>
      <c r="U35" s="26"/>
    </row>
    <row r="36" spans="2:21">
      <c r="B36" s="33">
        <f>B35+0.1</f>
        <v>1.6000000000000005</v>
      </c>
      <c r="C36" s="27" t="s">
        <v>388</v>
      </c>
      <c r="D36" s="27"/>
      <c r="E36" s="27"/>
      <c r="F36" s="27"/>
      <c r="G36" s="27"/>
      <c r="H36" s="24"/>
      <c r="I36" s="24"/>
      <c r="J36" s="24"/>
      <c r="K36" s="24"/>
      <c r="L36" s="24"/>
      <c r="M36" s="24"/>
      <c r="N36" s="24"/>
      <c r="O36" s="24"/>
      <c r="P36" s="24"/>
      <c r="Q36" s="24"/>
      <c r="R36" s="24"/>
      <c r="S36" s="26"/>
      <c r="T36" s="26"/>
      <c r="U36" s="26"/>
    </row>
    <row r="37" spans="2:21">
      <c r="B37" s="33">
        <f>B36+0.1</f>
        <v>1.7000000000000006</v>
      </c>
      <c r="C37" s="27" t="s">
        <v>389</v>
      </c>
      <c r="D37" s="27"/>
      <c r="E37" s="27"/>
      <c r="F37" s="27"/>
      <c r="G37" s="27"/>
      <c r="H37" s="24"/>
      <c r="I37" s="24"/>
      <c r="J37" s="24"/>
      <c r="K37" s="24"/>
      <c r="L37" s="24"/>
      <c r="M37" s="24"/>
      <c r="N37" s="24"/>
      <c r="O37" s="24"/>
      <c r="P37" s="24"/>
      <c r="Q37" s="24"/>
      <c r="R37" s="24"/>
      <c r="S37" s="26"/>
      <c r="T37" s="26"/>
      <c r="U37" s="26"/>
    </row>
    <row r="38" spans="2:21">
      <c r="B38" s="33">
        <f>B37+0.1</f>
        <v>1.8000000000000007</v>
      </c>
      <c r="C38" s="27" t="s">
        <v>379</v>
      </c>
      <c r="D38" s="27"/>
      <c r="E38" s="27"/>
      <c r="F38" s="27"/>
      <c r="G38" s="27"/>
      <c r="H38" s="24"/>
      <c r="I38" s="24"/>
      <c r="J38" s="24"/>
      <c r="K38" s="24"/>
      <c r="L38" s="24"/>
      <c r="M38" s="24"/>
      <c r="N38" s="24"/>
      <c r="O38" s="24"/>
      <c r="P38" s="24"/>
      <c r="Q38" s="24"/>
      <c r="R38" s="24"/>
      <c r="S38" s="26"/>
      <c r="T38" s="26"/>
      <c r="U38" s="26"/>
    </row>
    <row r="39" spans="2:21">
      <c r="B39" s="33"/>
      <c r="C39" s="27"/>
      <c r="D39" s="27"/>
      <c r="E39" s="27"/>
      <c r="F39" s="27"/>
      <c r="G39" s="27"/>
      <c r="H39" s="24"/>
      <c r="I39" s="24"/>
      <c r="J39" s="24"/>
      <c r="K39" s="24"/>
      <c r="L39" s="24"/>
      <c r="M39" s="24"/>
      <c r="N39" s="24"/>
      <c r="O39" s="24"/>
      <c r="P39" s="24"/>
      <c r="Q39" s="24"/>
      <c r="R39" s="24"/>
      <c r="S39" s="26"/>
      <c r="T39" s="26"/>
      <c r="U39" s="26"/>
    </row>
    <row r="40" spans="2:21">
      <c r="B40" s="44">
        <v>2</v>
      </c>
      <c r="C40" s="28" t="s">
        <v>390</v>
      </c>
      <c r="D40" s="28"/>
      <c r="E40" s="28"/>
      <c r="F40" s="28"/>
      <c r="G40" s="28"/>
      <c r="H40" s="24"/>
      <c r="I40" s="24"/>
      <c r="J40" s="24"/>
      <c r="K40" s="24"/>
      <c r="L40" s="24"/>
      <c r="M40" s="24"/>
      <c r="N40" s="24"/>
      <c r="O40" s="24"/>
      <c r="P40" s="24"/>
      <c r="Q40" s="24"/>
      <c r="R40" s="24"/>
      <c r="S40" s="26"/>
      <c r="T40" s="26"/>
      <c r="U40" s="26"/>
    </row>
    <row r="41" spans="2:21">
      <c r="B41" s="33">
        <f t="shared" ref="B41:B44" si="7">B40+0.1</f>
        <v>2.1</v>
      </c>
      <c r="C41" s="27" t="s">
        <v>384</v>
      </c>
      <c r="D41" s="27"/>
      <c r="E41" s="27"/>
      <c r="F41" s="27"/>
      <c r="G41" s="27"/>
      <c r="H41" s="24"/>
      <c r="I41" s="24"/>
      <c r="J41" s="24"/>
      <c r="K41" s="24"/>
      <c r="L41" s="24"/>
      <c r="M41" s="24"/>
      <c r="N41" s="24"/>
      <c r="O41" s="24"/>
      <c r="P41" s="24"/>
      <c r="Q41" s="24"/>
      <c r="R41" s="24"/>
      <c r="S41" s="26"/>
      <c r="T41" s="26"/>
      <c r="U41" s="26"/>
    </row>
    <row r="42" spans="2:21">
      <c r="B42" s="33">
        <f t="shared" si="7"/>
        <v>2.2000000000000002</v>
      </c>
      <c r="C42" s="27" t="s">
        <v>372</v>
      </c>
      <c r="D42" s="27"/>
      <c r="E42" s="27"/>
      <c r="F42" s="27"/>
      <c r="G42" s="27"/>
      <c r="H42" s="24"/>
      <c r="I42" s="24"/>
      <c r="J42" s="24"/>
      <c r="K42" s="24"/>
      <c r="L42" s="24"/>
      <c r="M42" s="24"/>
      <c r="N42" s="24"/>
      <c r="O42" s="24"/>
      <c r="P42" s="24"/>
      <c r="Q42" s="24"/>
      <c r="R42" s="24"/>
      <c r="S42" s="26"/>
      <c r="T42" s="26"/>
      <c r="U42" s="26"/>
    </row>
    <row r="43" spans="2:21">
      <c r="B43" s="33">
        <f t="shared" si="7"/>
        <v>2.3000000000000003</v>
      </c>
      <c r="C43" s="27" t="s">
        <v>386</v>
      </c>
      <c r="D43" s="27"/>
      <c r="E43" s="27"/>
      <c r="F43" s="27"/>
      <c r="G43" s="27"/>
      <c r="H43" s="24"/>
      <c r="I43" s="24"/>
      <c r="J43" s="24"/>
      <c r="K43" s="24"/>
      <c r="L43" s="24"/>
      <c r="M43" s="24"/>
      <c r="N43" s="24"/>
      <c r="O43" s="24"/>
      <c r="P43" s="24"/>
      <c r="Q43" s="24"/>
      <c r="R43" s="24"/>
      <c r="S43" s="26"/>
      <c r="T43" s="26"/>
      <c r="U43" s="26"/>
    </row>
    <row r="44" spans="2:21">
      <c r="B44" s="33">
        <f t="shared" si="7"/>
        <v>2.4000000000000004</v>
      </c>
      <c r="C44" s="27" t="s">
        <v>387</v>
      </c>
      <c r="D44" s="27"/>
      <c r="E44" s="27"/>
      <c r="F44" s="27"/>
      <c r="G44" s="27"/>
      <c r="H44" s="24"/>
      <c r="I44" s="24"/>
      <c r="J44" s="24"/>
      <c r="K44" s="24"/>
      <c r="L44" s="24"/>
      <c r="M44" s="24"/>
      <c r="N44" s="24"/>
      <c r="O44" s="24"/>
      <c r="P44" s="24"/>
      <c r="Q44" s="24"/>
      <c r="R44" s="24"/>
      <c r="S44" s="26"/>
      <c r="T44" s="26"/>
      <c r="U44" s="26"/>
    </row>
    <row r="45" spans="2:21">
      <c r="B45" s="33">
        <f>B44+0.1</f>
        <v>2.5000000000000004</v>
      </c>
      <c r="C45" s="27" t="s">
        <v>388</v>
      </c>
      <c r="D45" s="27"/>
      <c r="E45" s="27"/>
      <c r="F45" s="27"/>
      <c r="G45" s="27"/>
      <c r="H45" s="24"/>
      <c r="I45" s="24"/>
      <c r="J45" s="24"/>
      <c r="K45" s="24"/>
      <c r="L45" s="24"/>
      <c r="M45" s="24"/>
      <c r="N45" s="24"/>
      <c r="O45" s="24"/>
      <c r="P45" s="24"/>
      <c r="Q45" s="24"/>
      <c r="R45" s="24"/>
      <c r="S45" s="26"/>
      <c r="T45" s="26"/>
      <c r="U45" s="26"/>
    </row>
    <row r="46" spans="2:21">
      <c r="B46" s="33">
        <f>B45+0.1</f>
        <v>2.6000000000000005</v>
      </c>
      <c r="C46" s="27" t="s">
        <v>389</v>
      </c>
      <c r="D46" s="27"/>
      <c r="E46" s="27"/>
      <c r="F46" s="27"/>
      <c r="G46" s="27"/>
      <c r="H46" s="24"/>
      <c r="I46" s="24"/>
      <c r="J46" s="24"/>
      <c r="K46" s="24"/>
      <c r="L46" s="24"/>
      <c r="M46" s="24"/>
      <c r="N46" s="24"/>
      <c r="O46" s="24"/>
      <c r="P46" s="24"/>
      <c r="Q46" s="24"/>
      <c r="R46" s="24"/>
      <c r="S46" s="26"/>
      <c r="T46" s="26"/>
      <c r="U46" s="26"/>
    </row>
    <row r="47" spans="2:21">
      <c r="B47" s="33">
        <f>B46+0.1</f>
        <v>2.7000000000000006</v>
      </c>
      <c r="C47" s="27" t="s">
        <v>379</v>
      </c>
      <c r="D47" s="27"/>
      <c r="E47" s="27"/>
      <c r="F47" s="27"/>
      <c r="G47" s="27"/>
      <c r="H47" s="24"/>
      <c r="I47" s="24"/>
      <c r="J47" s="24"/>
      <c r="K47" s="24"/>
      <c r="L47" s="24"/>
      <c r="M47" s="24"/>
      <c r="N47" s="24"/>
      <c r="O47" s="24"/>
      <c r="P47" s="24"/>
      <c r="Q47" s="24"/>
      <c r="R47" s="24"/>
      <c r="S47" s="26"/>
      <c r="T47" s="26"/>
      <c r="U47" s="26"/>
    </row>
    <row r="48" spans="2:21">
      <c r="B48" s="33"/>
      <c r="C48" s="27"/>
      <c r="D48" s="27"/>
      <c r="E48" s="27"/>
      <c r="F48" s="27"/>
      <c r="G48" s="27"/>
      <c r="H48" s="24"/>
      <c r="I48" s="24"/>
      <c r="J48" s="24"/>
      <c r="K48" s="24"/>
      <c r="L48" s="24"/>
      <c r="M48" s="24"/>
      <c r="N48" s="24"/>
      <c r="O48" s="24"/>
      <c r="P48" s="24"/>
      <c r="Q48" s="24"/>
      <c r="R48" s="24"/>
      <c r="S48" s="26"/>
      <c r="T48" s="26"/>
      <c r="U48" s="26"/>
    </row>
    <row r="49" spans="2:21">
      <c r="B49" s="44">
        <v>3</v>
      </c>
      <c r="C49" s="28" t="s">
        <v>391</v>
      </c>
      <c r="D49" s="28"/>
      <c r="E49" s="28"/>
      <c r="F49" s="28"/>
      <c r="G49" s="28"/>
      <c r="H49" s="24"/>
      <c r="I49" s="24"/>
      <c r="J49" s="24"/>
      <c r="K49" s="24"/>
      <c r="L49" s="24"/>
      <c r="M49" s="24"/>
      <c r="N49" s="24"/>
      <c r="O49" s="24"/>
      <c r="P49" s="24"/>
      <c r="Q49" s="24"/>
      <c r="R49" s="24"/>
      <c r="S49" s="26"/>
      <c r="T49" s="26"/>
      <c r="U49" s="26"/>
    </row>
    <row r="50" spans="2:21">
      <c r="B50" s="33"/>
      <c r="C50" s="27" t="s">
        <v>278</v>
      </c>
      <c r="D50" s="27"/>
      <c r="E50" s="27"/>
      <c r="F50" s="27"/>
      <c r="G50" s="27"/>
      <c r="H50" s="24"/>
      <c r="I50" s="24"/>
      <c r="J50" s="24"/>
      <c r="K50" s="24"/>
      <c r="L50" s="24"/>
      <c r="M50" s="24"/>
      <c r="N50" s="24"/>
      <c r="O50" s="24"/>
      <c r="P50" s="24"/>
      <c r="Q50" s="24"/>
      <c r="R50" s="24"/>
      <c r="S50" s="26"/>
      <c r="T50" s="26"/>
      <c r="U50" s="26"/>
    </row>
    <row r="51" spans="2:21">
      <c r="B51" s="33"/>
      <c r="C51" s="27" t="s">
        <v>278</v>
      </c>
      <c r="D51" s="27"/>
      <c r="E51" s="27"/>
      <c r="F51" s="27"/>
      <c r="G51" s="27"/>
      <c r="H51" s="24"/>
      <c r="I51" s="24"/>
      <c r="J51" s="24"/>
      <c r="K51" s="24"/>
      <c r="L51" s="24"/>
      <c r="M51" s="24"/>
      <c r="N51" s="24"/>
      <c r="O51" s="24"/>
      <c r="P51" s="24"/>
      <c r="Q51" s="24"/>
      <c r="R51" s="24"/>
      <c r="S51" s="26"/>
      <c r="T51" s="26"/>
      <c r="U51" s="26"/>
    </row>
    <row r="52" spans="2:21">
      <c r="B52" s="33"/>
      <c r="C52" s="27" t="s">
        <v>278</v>
      </c>
      <c r="D52" s="27"/>
      <c r="E52" s="27"/>
      <c r="F52" s="27"/>
      <c r="G52" s="27"/>
      <c r="H52" s="24"/>
      <c r="I52" s="24"/>
      <c r="J52" s="24"/>
      <c r="K52" s="24"/>
      <c r="L52" s="24"/>
      <c r="M52" s="24"/>
      <c r="N52" s="24"/>
      <c r="O52" s="24"/>
      <c r="P52" s="24"/>
      <c r="Q52" s="24"/>
      <c r="R52" s="24"/>
      <c r="S52" s="26"/>
      <c r="T52" s="26"/>
      <c r="U52" s="26"/>
    </row>
    <row r="53" spans="2:21">
      <c r="B53" s="33"/>
      <c r="C53" s="27"/>
      <c r="D53" s="27"/>
      <c r="E53" s="27"/>
      <c r="F53" s="27"/>
      <c r="G53" s="27"/>
      <c r="H53" s="24"/>
      <c r="I53" s="24"/>
      <c r="J53" s="24"/>
      <c r="K53" s="24"/>
      <c r="L53" s="24"/>
      <c r="M53" s="24"/>
      <c r="N53" s="24"/>
      <c r="O53" s="24"/>
      <c r="P53" s="24"/>
      <c r="Q53" s="24"/>
      <c r="R53" s="24"/>
      <c r="S53" s="26"/>
      <c r="T53" s="26"/>
      <c r="U53" s="26"/>
    </row>
    <row r="54" spans="2:21">
      <c r="B54" s="44">
        <v>10</v>
      </c>
      <c r="C54" s="28" t="s">
        <v>235</v>
      </c>
      <c r="D54" s="28"/>
      <c r="E54" s="28"/>
      <c r="F54" s="28"/>
      <c r="G54" s="27"/>
      <c r="H54" s="24"/>
      <c r="I54" s="24"/>
      <c r="J54" s="24"/>
      <c r="K54" s="24"/>
      <c r="L54" s="24"/>
      <c r="M54" s="24"/>
      <c r="N54" s="24"/>
      <c r="O54" s="24"/>
      <c r="P54" s="24"/>
      <c r="Q54" s="24"/>
      <c r="R54" s="24"/>
      <c r="S54" s="26"/>
      <c r="T54" s="26"/>
      <c r="U54" s="26"/>
    </row>
    <row r="55" spans="2:21">
      <c r="B55" s="33">
        <f t="shared" ref="B55:B58" si="8">B54+0.1</f>
        <v>10.1</v>
      </c>
      <c r="C55" s="27" t="s">
        <v>384</v>
      </c>
      <c r="D55" s="27"/>
      <c r="E55" s="27"/>
      <c r="F55" s="27"/>
      <c r="G55" s="27"/>
      <c r="H55" s="24"/>
      <c r="I55" s="24"/>
      <c r="J55" s="24"/>
      <c r="K55" s="24"/>
      <c r="L55" s="24"/>
      <c r="M55" s="24"/>
      <c r="N55" s="24"/>
      <c r="O55" s="24"/>
      <c r="P55" s="24"/>
      <c r="Q55" s="24"/>
      <c r="R55" s="24"/>
      <c r="S55" s="26"/>
      <c r="T55" s="26"/>
      <c r="U55" s="26"/>
    </row>
    <row r="56" spans="2:21">
      <c r="B56" s="33">
        <f t="shared" si="8"/>
        <v>10.199999999999999</v>
      </c>
      <c r="C56" s="27" t="s">
        <v>372</v>
      </c>
      <c r="D56" s="27"/>
      <c r="E56" s="27"/>
      <c r="F56" s="27"/>
      <c r="G56" s="27"/>
      <c r="H56" s="24"/>
      <c r="I56" s="24"/>
      <c r="J56" s="24"/>
      <c r="K56" s="24"/>
      <c r="L56" s="24"/>
      <c r="M56" s="24"/>
      <c r="N56" s="24"/>
      <c r="O56" s="24"/>
      <c r="P56" s="24"/>
      <c r="Q56" s="24"/>
      <c r="R56" s="24"/>
      <c r="S56" s="26"/>
      <c r="T56" s="26"/>
      <c r="U56" s="26"/>
    </row>
    <row r="57" spans="2:21">
      <c r="B57" s="33">
        <f t="shared" si="8"/>
        <v>10.299999999999999</v>
      </c>
      <c r="C57" s="27" t="s">
        <v>386</v>
      </c>
      <c r="D57" s="27"/>
      <c r="E57" s="27"/>
      <c r="F57" s="27"/>
      <c r="G57" s="27"/>
      <c r="H57" s="24"/>
      <c r="I57" s="24"/>
      <c r="J57" s="24"/>
      <c r="K57" s="24"/>
      <c r="L57" s="24"/>
      <c r="M57" s="24"/>
      <c r="N57" s="24"/>
      <c r="O57" s="24"/>
      <c r="P57" s="24"/>
      <c r="Q57" s="24"/>
      <c r="R57" s="24"/>
      <c r="S57" s="26"/>
      <c r="T57" s="26"/>
      <c r="U57" s="26"/>
    </row>
    <row r="58" spans="2:21">
      <c r="B58" s="33">
        <f t="shared" si="8"/>
        <v>10.399999999999999</v>
      </c>
      <c r="C58" s="27" t="s">
        <v>387</v>
      </c>
      <c r="D58" s="27"/>
      <c r="E58" s="27"/>
      <c r="F58" s="27"/>
      <c r="G58" s="27"/>
      <c r="H58" s="24"/>
      <c r="I58" s="24"/>
      <c r="J58" s="24"/>
      <c r="K58" s="24"/>
      <c r="L58" s="24"/>
      <c r="M58" s="24"/>
      <c r="N58" s="24"/>
      <c r="O58" s="24"/>
      <c r="P58" s="24"/>
      <c r="Q58" s="24"/>
      <c r="R58" s="24"/>
      <c r="S58" s="26"/>
      <c r="T58" s="26"/>
      <c r="U58" s="26"/>
    </row>
    <row r="59" spans="2:21">
      <c r="B59" s="33">
        <f>B58+0.1</f>
        <v>10.499999999999998</v>
      </c>
      <c r="C59" s="27" t="s">
        <v>388</v>
      </c>
      <c r="D59" s="27"/>
      <c r="E59" s="27"/>
      <c r="F59" s="27"/>
      <c r="G59" s="27"/>
      <c r="H59" s="24"/>
      <c r="I59" s="24"/>
      <c r="J59" s="24"/>
      <c r="K59" s="24"/>
      <c r="L59" s="24"/>
      <c r="M59" s="24"/>
      <c r="N59" s="24"/>
      <c r="O59" s="24"/>
      <c r="P59" s="24"/>
      <c r="Q59" s="24"/>
      <c r="R59" s="24"/>
      <c r="S59" s="26"/>
      <c r="T59" s="26"/>
      <c r="U59" s="26"/>
    </row>
    <row r="60" spans="2:21">
      <c r="B60" s="33">
        <f>B59+0.1</f>
        <v>10.599999999999998</v>
      </c>
      <c r="C60" s="27" t="s">
        <v>389</v>
      </c>
      <c r="D60" s="27"/>
      <c r="E60" s="27"/>
      <c r="F60" s="27"/>
      <c r="G60" s="27"/>
      <c r="H60" s="24"/>
      <c r="I60" s="24"/>
      <c r="J60" s="24"/>
      <c r="K60" s="24"/>
      <c r="L60" s="24"/>
      <c r="M60" s="24"/>
      <c r="N60" s="24"/>
      <c r="O60" s="24"/>
      <c r="P60" s="24"/>
      <c r="Q60" s="24"/>
      <c r="R60" s="24"/>
      <c r="S60" s="26"/>
      <c r="T60" s="26"/>
      <c r="U60" s="26"/>
    </row>
    <row r="61" spans="2:21">
      <c r="B61" s="33">
        <f>B60+0.1</f>
        <v>10.699999999999998</v>
      </c>
      <c r="C61" s="27" t="s">
        <v>379</v>
      </c>
      <c r="D61" s="27"/>
      <c r="E61" s="27"/>
      <c r="F61" s="27"/>
      <c r="G61" s="27"/>
      <c r="H61" s="24"/>
      <c r="I61" s="24"/>
      <c r="J61" s="24"/>
      <c r="K61" s="24"/>
      <c r="L61" s="24"/>
      <c r="M61" s="24"/>
      <c r="N61" s="24"/>
      <c r="O61" s="24"/>
      <c r="P61" s="24"/>
      <c r="Q61" s="24"/>
      <c r="R61" s="24"/>
      <c r="S61" s="26"/>
      <c r="T61" s="26"/>
      <c r="U61" s="26"/>
    </row>
    <row r="62" spans="2:21">
      <c r="B62" s="33"/>
      <c r="C62" s="27"/>
      <c r="D62" s="27"/>
      <c r="E62" s="27"/>
      <c r="F62" s="27"/>
      <c r="G62" s="27"/>
      <c r="H62" s="24"/>
      <c r="I62" s="24"/>
      <c r="J62" s="24"/>
      <c r="K62" s="24"/>
      <c r="L62" s="24"/>
      <c r="M62" s="24"/>
      <c r="N62" s="24"/>
      <c r="O62" s="24"/>
      <c r="P62" s="24"/>
      <c r="Q62" s="24"/>
      <c r="R62" s="24"/>
      <c r="S62" s="26"/>
      <c r="T62" s="26"/>
      <c r="U62" s="26"/>
    </row>
    <row r="63" spans="2:21">
      <c r="B63" s="33"/>
      <c r="C63" s="27"/>
      <c r="D63" s="27"/>
      <c r="E63" s="27"/>
      <c r="F63" s="27"/>
      <c r="G63" s="27"/>
      <c r="H63" s="24"/>
      <c r="I63" s="24"/>
      <c r="J63" s="24"/>
      <c r="K63" s="24"/>
      <c r="L63" s="24"/>
      <c r="M63" s="24"/>
      <c r="N63" s="24"/>
      <c r="O63" s="24"/>
      <c r="P63" s="24"/>
      <c r="Q63" s="24"/>
      <c r="R63" s="24"/>
      <c r="S63" s="26"/>
      <c r="T63" s="26"/>
      <c r="U63" s="26"/>
    </row>
    <row r="64" spans="2:21">
      <c r="B64" s="33">
        <v>9</v>
      </c>
      <c r="C64" s="28" t="s">
        <v>392</v>
      </c>
      <c r="D64" s="28"/>
      <c r="E64" s="28"/>
      <c r="F64" s="28"/>
      <c r="G64" s="28"/>
      <c r="H64" s="24"/>
      <c r="I64" s="24"/>
      <c r="J64" s="24"/>
      <c r="K64" s="29"/>
      <c r="L64" s="29"/>
      <c r="M64" s="29"/>
      <c r="N64" s="29"/>
      <c r="O64" s="29"/>
      <c r="P64" s="29"/>
      <c r="Q64" s="24"/>
      <c r="R64" s="24"/>
      <c r="S64" s="26"/>
      <c r="T64" s="26"/>
      <c r="U64" s="26"/>
    </row>
    <row r="65" spans="2:21">
      <c r="B65" s="33">
        <v>10</v>
      </c>
      <c r="C65" s="30" t="s">
        <v>159</v>
      </c>
      <c r="D65" s="30"/>
      <c r="E65" s="30"/>
      <c r="F65" s="30"/>
      <c r="G65" s="30"/>
      <c r="H65" s="24"/>
      <c r="I65" s="24"/>
      <c r="J65" s="24"/>
      <c r="K65" s="24"/>
      <c r="L65" s="24"/>
      <c r="M65" s="24"/>
      <c r="N65" s="24"/>
      <c r="O65" s="24"/>
      <c r="P65" s="24"/>
      <c r="Q65" s="24"/>
      <c r="R65" s="24"/>
      <c r="S65" s="26"/>
      <c r="T65" s="26"/>
      <c r="U65" s="26"/>
    </row>
    <row r="66" spans="2:21">
      <c r="B66" s="44">
        <v>11</v>
      </c>
      <c r="C66" s="29" t="s">
        <v>393</v>
      </c>
      <c r="D66" s="29"/>
      <c r="E66" s="29"/>
      <c r="F66" s="29"/>
      <c r="G66" s="29"/>
      <c r="H66" s="24"/>
      <c r="I66" s="24"/>
      <c r="J66" s="24"/>
      <c r="K66" s="24"/>
      <c r="L66" s="24"/>
      <c r="M66" s="24"/>
      <c r="N66" s="24"/>
      <c r="O66" s="24"/>
      <c r="P66" s="24"/>
      <c r="Q66" s="24"/>
      <c r="R66" s="24"/>
      <c r="S66" s="26"/>
      <c r="T66" s="26"/>
      <c r="U66" s="26"/>
    </row>
    <row r="67" spans="2:21">
      <c r="B67" s="33"/>
      <c r="C67" s="31"/>
      <c r="D67" s="31"/>
      <c r="E67" s="31"/>
      <c r="F67" s="31"/>
      <c r="G67" s="31"/>
      <c r="H67" s="24"/>
      <c r="I67" s="24"/>
      <c r="J67" s="24"/>
      <c r="K67" s="24"/>
      <c r="L67" s="24"/>
      <c r="M67" s="24"/>
      <c r="N67" s="24"/>
      <c r="O67" s="24"/>
      <c r="P67" s="24"/>
      <c r="Q67" s="24"/>
      <c r="R67" s="24"/>
      <c r="S67" s="26"/>
      <c r="T67" s="26"/>
      <c r="U67" s="26"/>
    </row>
    <row r="68" spans="2:21">
      <c r="B68" s="57"/>
      <c r="C68" s="107"/>
      <c r="D68" s="107"/>
      <c r="E68" s="107"/>
      <c r="F68" s="107"/>
      <c r="G68" s="107"/>
      <c r="S68" s="26"/>
      <c r="T68" s="26"/>
      <c r="U68" s="26"/>
    </row>
    <row r="69" spans="2:21">
      <c r="B69" s="57"/>
      <c r="C69" s="1036" t="s">
        <v>394</v>
      </c>
      <c r="D69" s="1036"/>
      <c r="E69" s="1036"/>
      <c r="F69" s="1036"/>
      <c r="G69" s="1036"/>
      <c r="S69" s="26"/>
      <c r="T69" s="26"/>
      <c r="U69" s="26"/>
    </row>
    <row r="70" spans="2:21">
      <c r="B70" s="57"/>
      <c r="C70" s="115" t="s">
        <v>395</v>
      </c>
      <c r="D70" s="115"/>
      <c r="E70" s="115"/>
      <c r="F70" s="115"/>
    </row>
    <row r="71" spans="2:21">
      <c r="B71" s="57"/>
      <c r="C71" s="115"/>
      <c r="D71" s="115"/>
      <c r="E71" s="115"/>
      <c r="F71" s="115"/>
    </row>
    <row r="72" spans="2:21">
      <c r="B72" s="57"/>
      <c r="C72" s="173" t="s">
        <v>396</v>
      </c>
      <c r="D72" s="173"/>
      <c r="E72" s="173"/>
      <c r="F72" s="173"/>
      <c r="G72" s="173"/>
    </row>
    <row r="73" spans="2:21">
      <c r="R73" s="22" t="s">
        <v>56</v>
      </c>
    </row>
    <row r="74" spans="2:21" ht="15" customHeight="1">
      <c r="B74" s="959" t="s">
        <v>2</v>
      </c>
      <c r="C74" s="959" t="s">
        <v>366</v>
      </c>
      <c r="D74" s="963" t="s">
        <v>58</v>
      </c>
      <c r="E74" s="964"/>
      <c r="F74" s="965"/>
      <c r="G74" s="963" t="s">
        <v>59</v>
      </c>
      <c r="H74" s="964"/>
      <c r="I74" s="965"/>
      <c r="J74" s="963" t="s">
        <v>60</v>
      </c>
      <c r="K74" s="964"/>
      <c r="L74" s="965"/>
      <c r="M74" s="963" t="s">
        <v>367</v>
      </c>
      <c r="N74" s="964"/>
      <c r="O74" s="964"/>
      <c r="P74" s="964"/>
      <c r="Q74" s="965"/>
      <c r="R74" s="1005" t="s">
        <v>62</v>
      </c>
    </row>
    <row r="75" spans="2:21" ht="42.75">
      <c r="B75" s="959"/>
      <c r="C75" s="959"/>
      <c r="D75" s="198" t="s">
        <v>63</v>
      </c>
      <c r="E75" s="198" t="s">
        <v>64</v>
      </c>
      <c r="F75" s="198" t="s">
        <v>65</v>
      </c>
      <c r="G75" s="198" t="s">
        <v>63</v>
      </c>
      <c r="H75" s="198" t="s">
        <v>64</v>
      </c>
      <c r="I75" s="198" t="s">
        <v>65</v>
      </c>
      <c r="J75" s="198" t="s">
        <v>63</v>
      </c>
      <c r="K75" s="198" t="s">
        <v>295</v>
      </c>
      <c r="L75" s="198" t="s">
        <v>69</v>
      </c>
      <c r="M75" s="198" t="s">
        <v>70</v>
      </c>
      <c r="N75" s="198" t="s">
        <v>71</v>
      </c>
      <c r="O75" s="198" t="s">
        <v>72</v>
      </c>
      <c r="P75" s="198" t="s">
        <v>73</v>
      </c>
      <c r="Q75" s="198" t="s">
        <v>74</v>
      </c>
      <c r="R75" s="1035"/>
    </row>
    <row r="76" spans="2:21" ht="26.25" customHeight="1">
      <c r="B76" s="216"/>
      <c r="C76" s="67"/>
      <c r="D76" s="198" t="s">
        <v>75</v>
      </c>
      <c r="E76" s="198" t="s">
        <v>76</v>
      </c>
      <c r="F76" s="198" t="s">
        <v>77</v>
      </c>
      <c r="G76" s="198" t="s">
        <v>78</v>
      </c>
      <c r="H76" s="198" t="s">
        <v>79</v>
      </c>
      <c r="I76" s="198" t="s">
        <v>80</v>
      </c>
      <c r="J76" s="198" t="s">
        <v>81</v>
      </c>
      <c r="K76" s="198" t="s">
        <v>82</v>
      </c>
      <c r="L76" s="198" t="s">
        <v>368</v>
      </c>
      <c r="M76" s="198" t="s">
        <v>86</v>
      </c>
      <c r="N76" s="198" t="s">
        <v>86</v>
      </c>
      <c r="O76" s="198" t="s">
        <v>86</v>
      </c>
      <c r="P76" s="198" t="s">
        <v>86</v>
      </c>
      <c r="Q76" s="198" t="s">
        <v>86</v>
      </c>
      <c r="R76" s="215"/>
    </row>
    <row r="77" spans="2:21">
      <c r="B77" s="44">
        <v>1</v>
      </c>
      <c r="C77" s="28" t="s">
        <v>383</v>
      </c>
      <c r="D77" s="28"/>
      <c r="E77" s="28"/>
      <c r="F77" s="28"/>
      <c r="G77" s="28"/>
      <c r="H77" s="24"/>
      <c r="I77" s="24"/>
      <c r="J77" s="24"/>
      <c r="K77" s="24"/>
      <c r="L77" s="24"/>
      <c r="M77" s="24"/>
      <c r="N77" s="24"/>
      <c r="O77" s="24"/>
      <c r="P77" s="24"/>
      <c r="Q77" s="24"/>
      <c r="R77" s="24"/>
      <c r="S77" s="26"/>
      <c r="T77" s="26"/>
      <c r="U77" s="26"/>
    </row>
    <row r="78" spans="2:21">
      <c r="B78" s="33">
        <v>1.1000000000000001</v>
      </c>
      <c r="C78" s="27" t="s">
        <v>384</v>
      </c>
      <c r="D78" s="27"/>
      <c r="E78" s="27"/>
      <c r="F78" s="27"/>
      <c r="G78" s="27"/>
      <c r="H78" s="24"/>
      <c r="I78" s="24"/>
      <c r="J78" s="24"/>
      <c r="K78" s="24"/>
      <c r="L78" s="24"/>
      <c r="M78" s="24"/>
      <c r="N78" s="24"/>
      <c r="O78" s="24"/>
      <c r="P78" s="24"/>
      <c r="Q78" s="24"/>
      <c r="R78" s="24"/>
      <c r="S78" s="26"/>
      <c r="T78" s="26"/>
      <c r="U78" s="26"/>
    </row>
    <row r="79" spans="2:21">
      <c r="B79" s="33">
        <f t="shared" ref="B79:B82" si="9">B78+0.1</f>
        <v>1.2000000000000002</v>
      </c>
      <c r="C79" s="27" t="s">
        <v>372</v>
      </c>
      <c r="D79" s="27"/>
      <c r="E79" s="27"/>
      <c r="F79" s="27"/>
      <c r="G79" s="27"/>
      <c r="H79" s="24"/>
      <c r="I79" s="24"/>
      <c r="J79" s="24"/>
      <c r="K79" s="24"/>
      <c r="L79" s="24"/>
      <c r="M79" s="24"/>
      <c r="N79" s="24"/>
      <c r="O79" s="24"/>
      <c r="P79" s="24"/>
      <c r="Q79" s="24"/>
      <c r="R79" s="24"/>
      <c r="S79" s="26"/>
      <c r="T79" s="26"/>
      <c r="U79" s="26"/>
    </row>
    <row r="80" spans="2:21">
      <c r="B80" s="33">
        <f t="shared" si="9"/>
        <v>1.3000000000000003</v>
      </c>
      <c r="C80" s="27" t="s">
        <v>385</v>
      </c>
      <c r="D80" s="27"/>
      <c r="E80" s="27"/>
      <c r="F80" s="27"/>
      <c r="G80" s="27"/>
      <c r="H80" s="24"/>
      <c r="I80" s="24"/>
      <c r="J80" s="24"/>
      <c r="K80" s="24"/>
      <c r="L80" s="24"/>
      <c r="M80" s="24"/>
      <c r="N80" s="24"/>
      <c r="O80" s="24"/>
      <c r="P80" s="24"/>
      <c r="Q80" s="24"/>
      <c r="R80" s="24"/>
      <c r="S80" s="26"/>
      <c r="T80" s="26"/>
      <c r="U80" s="26"/>
    </row>
    <row r="81" spans="2:21">
      <c r="B81" s="33">
        <f t="shared" si="9"/>
        <v>1.4000000000000004</v>
      </c>
      <c r="C81" s="27" t="s">
        <v>386</v>
      </c>
      <c r="D81" s="27"/>
      <c r="E81" s="27"/>
      <c r="F81" s="27"/>
      <c r="G81" s="27"/>
      <c r="H81" s="24"/>
      <c r="I81" s="24"/>
      <c r="J81" s="24"/>
      <c r="K81" s="24"/>
      <c r="L81" s="24"/>
      <c r="M81" s="24"/>
      <c r="N81" s="24"/>
      <c r="O81" s="24"/>
      <c r="P81" s="24"/>
      <c r="Q81" s="24"/>
      <c r="R81" s="24"/>
      <c r="S81" s="26"/>
      <c r="T81" s="26"/>
      <c r="U81" s="26"/>
    </row>
    <row r="82" spans="2:21">
      <c r="B82" s="33">
        <f t="shared" si="9"/>
        <v>1.5000000000000004</v>
      </c>
      <c r="C82" s="27" t="s">
        <v>387</v>
      </c>
      <c r="D82" s="27"/>
      <c r="E82" s="27"/>
      <c r="F82" s="27"/>
      <c r="G82" s="27"/>
      <c r="H82" s="24"/>
      <c r="I82" s="24"/>
      <c r="J82" s="24"/>
      <c r="K82" s="24"/>
      <c r="L82" s="24"/>
      <c r="M82" s="24"/>
      <c r="N82" s="24"/>
      <c r="O82" s="24"/>
      <c r="P82" s="24"/>
      <c r="Q82" s="24"/>
      <c r="R82" s="24"/>
      <c r="S82" s="26"/>
      <c r="T82" s="26"/>
      <c r="U82" s="26"/>
    </row>
    <row r="83" spans="2:21">
      <c r="B83" s="33">
        <f>B82+0.1</f>
        <v>1.6000000000000005</v>
      </c>
      <c r="C83" s="27" t="s">
        <v>388</v>
      </c>
      <c r="D83" s="27"/>
      <c r="E83" s="27"/>
      <c r="F83" s="27"/>
      <c r="G83" s="27"/>
      <c r="H83" s="24"/>
      <c r="I83" s="24"/>
      <c r="J83" s="24"/>
      <c r="K83" s="24"/>
      <c r="L83" s="24"/>
      <c r="M83" s="24"/>
      <c r="N83" s="24"/>
      <c r="O83" s="24"/>
      <c r="P83" s="24"/>
      <c r="Q83" s="24"/>
      <c r="R83" s="24"/>
      <c r="S83" s="26"/>
      <c r="T83" s="26"/>
      <c r="U83" s="26"/>
    </row>
    <row r="84" spans="2:21">
      <c r="B84" s="33">
        <f>B83+0.1</f>
        <v>1.7000000000000006</v>
      </c>
      <c r="C84" s="27" t="s">
        <v>389</v>
      </c>
      <c r="D84" s="27"/>
      <c r="E84" s="27"/>
      <c r="F84" s="27"/>
      <c r="G84" s="27"/>
      <c r="H84" s="24"/>
      <c r="I84" s="24"/>
      <c r="J84" s="24"/>
      <c r="K84" s="24"/>
      <c r="L84" s="24"/>
      <c r="M84" s="24"/>
      <c r="N84" s="24"/>
      <c r="O84" s="24"/>
      <c r="P84" s="24"/>
      <c r="Q84" s="24"/>
      <c r="R84" s="24"/>
      <c r="S84" s="26"/>
      <c r="T84" s="26"/>
      <c r="U84" s="26"/>
    </row>
    <row r="85" spans="2:21">
      <c r="B85" s="33">
        <f>B84+0.1</f>
        <v>1.8000000000000007</v>
      </c>
      <c r="C85" s="27" t="s">
        <v>379</v>
      </c>
      <c r="D85" s="27"/>
      <c r="E85" s="27"/>
      <c r="F85" s="27"/>
      <c r="G85" s="27"/>
      <c r="H85" s="24"/>
      <c r="I85" s="24"/>
      <c r="J85" s="24"/>
      <c r="K85" s="24"/>
      <c r="L85" s="24"/>
      <c r="M85" s="24"/>
      <c r="N85" s="24"/>
      <c r="O85" s="24"/>
      <c r="P85" s="24"/>
      <c r="Q85" s="24"/>
      <c r="R85" s="24"/>
      <c r="S85" s="26"/>
      <c r="T85" s="26"/>
      <c r="U85" s="26"/>
    </row>
    <row r="86" spans="2:21">
      <c r="B86" s="33"/>
      <c r="C86" s="27"/>
      <c r="D86" s="27"/>
      <c r="E86" s="27"/>
      <c r="F86" s="27"/>
      <c r="G86" s="27"/>
      <c r="H86" s="24"/>
      <c r="I86" s="24"/>
      <c r="J86" s="24"/>
      <c r="K86" s="24"/>
      <c r="L86" s="24"/>
      <c r="M86" s="24"/>
      <c r="N86" s="24"/>
      <c r="O86" s="24"/>
      <c r="P86" s="24"/>
      <c r="Q86" s="24"/>
      <c r="R86" s="24"/>
      <c r="S86" s="26"/>
      <c r="T86" s="26"/>
      <c r="U86" s="26"/>
    </row>
    <row r="87" spans="2:21">
      <c r="B87" s="44">
        <v>2</v>
      </c>
      <c r="C87" s="28" t="s">
        <v>390</v>
      </c>
      <c r="D87" s="28"/>
      <c r="E87" s="28"/>
      <c r="F87" s="28"/>
      <c r="G87" s="28"/>
      <c r="H87" s="24"/>
      <c r="I87" s="24"/>
      <c r="J87" s="24"/>
      <c r="K87" s="24"/>
      <c r="L87" s="24"/>
      <c r="M87" s="24"/>
      <c r="N87" s="24"/>
      <c r="O87" s="24"/>
      <c r="P87" s="24"/>
      <c r="Q87" s="24"/>
      <c r="R87" s="24"/>
      <c r="S87" s="26"/>
      <c r="T87" s="26"/>
      <c r="U87" s="26"/>
    </row>
    <row r="88" spans="2:21">
      <c r="B88" s="33">
        <f t="shared" ref="B88:B91" si="10">B87+0.1</f>
        <v>2.1</v>
      </c>
      <c r="C88" s="27" t="s">
        <v>384</v>
      </c>
      <c r="D88" s="27"/>
      <c r="E88" s="27"/>
      <c r="F88" s="27"/>
      <c r="G88" s="27"/>
      <c r="H88" s="24"/>
      <c r="I88" s="24"/>
      <c r="J88" s="24"/>
      <c r="K88" s="24"/>
      <c r="L88" s="24"/>
      <c r="M88" s="24"/>
      <c r="N88" s="24"/>
      <c r="O88" s="24"/>
      <c r="P88" s="24"/>
      <c r="Q88" s="24"/>
      <c r="R88" s="24"/>
      <c r="S88" s="26"/>
      <c r="T88" s="26"/>
      <c r="U88" s="26"/>
    </row>
    <row r="89" spans="2:21">
      <c r="B89" s="33">
        <f t="shared" si="10"/>
        <v>2.2000000000000002</v>
      </c>
      <c r="C89" s="27" t="s">
        <v>372</v>
      </c>
      <c r="D89" s="27"/>
      <c r="E89" s="27"/>
      <c r="F89" s="27"/>
      <c r="G89" s="27"/>
      <c r="H89" s="24"/>
      <c r="I89" s="24"/>
      <c r="J89" s="24"/>
      <c r="K89" s="24"/>
      <c r="L89" s="24"/>
      <c r="M89" s="24"/>
      <c r="N89" s="24"/>
      <c r="O89" s="24"/>
      <c r="P89" s="24"/>
      <c r="Q89" s="24"/>
      <c r="R89" s="24"/>
      <c r="S89" s="26"/>
      <c r="T89" s="26"/>
      <c r="U89" s="26"/>
    </row>
    <row r="90" spans="2:21">
      <c r="B90" s="33">
        <f t="shared" si="10"/>
        <v>2.3000000000000003</v>
      </c>
      <c r="C90" s="27" t="s">
        <v>386</v>
      </c>
      <c r="D90" s="27"/>
      <c r="E90" s="27"/>
      <c r="F90" s="27"/>
      <c r="G90" s="27"/>
      <c r="H90" s="24"/>
      <c r="I90" s="24"/>
      <c r="J90" s="24"/>
      <c r="K90" s="24"/>
      <c r="L90" s="24"/>
      <c r="M90" s="24"/>
      <c r="N90" s="24"/>
      <c r="O90" s="24"/>
      <c r="P90" s="24"/>
      <c r="Q90" s="24"/>
      <c r="R90" s="24"/>
      <c r="S90" s="26"/>
      <c r="T90" s="26"/>
      <c r="U90" s="26"/>
    </row>
    <row r="91" spans="2:21">
      <c r="B91" s="33">
        <f t="shared" si="10"/>
        <v>2.4000000000000004</v>
      </c>
      <c r="C91" s="27" t="s">
        <v>387</v>
      </c>
      <c r="D91" s="27"/>
      <c r="E91" s="27"/>
      <c r="F91" s="27"/>
      <c r="G91" s="27"/>
      <c r="H91" s="24"/>
      <c r="I91" s="24"/>
      <c r="J91" s="24"/>
      <c r="K91" s="24"/>
      <c r="L91" s="24"/>
      <c r="M91" s="24"/>
      <c r="N91" s="24"/>
      <c r="O91" s="24"/>
      <c r="P91" s="24"/>
      <c r="Q91" s="24"/>
      <c r="R91" s="24"/>
      <c r="S91" s="26"/>
      <c r="T91" s="26"/>
      <c r="U91" s="26"/>
    </row>
    <row r="92" spans="2:21">
      <c r="B92" s="33">
        <f>B91+0.1</f>
        <v>2.5000000000000004</v>
      </c>
      <c r="C92" s="27" t="s">
        <v>388</v>
      </c>
      <c r="D92" s="27"/>
      <c r="E92" s="27"/>
      <c r="F92" s="27"/>
      <c r="G92" s="27"/>
      <c r="H92" s="24"/>
      <c r="I92" s="24"/>
      <c r="J92" s="24"/>
      <c r="K92" s="24"/>
      <c r="L92" s="24"/>
      <c r="M92" s="24"/>
      <c r="N92" s="24"/>
      <c r="O92" s="24"/>
      <c r="P92" s="24"/>
      <c r="Q92" s="24"/>
      <c r="R92" s="24"/>
      <c r="S92" s="26"/>
      <c r="T92" s="26"/>
      <c r="U92" s="26"/>
    </row>
    <row r="93" spans="2:21">
      <c r="B93" s="33">
        <f>B92+0.1</f>
        <v>2.6000000000000005</v>
      </c>
      <c r="C93" s="27" t="s">
        <v>389</v>
      </c>
      <c r="D93" s="27"/>
      <c r="E93" s="27"/>
      <c r="F93" s="27"/>
      <c r="G93" s="27"/>
      <c r="H93" s="24"/>
      <c r="I93" s="24"/>
      <c r="J93" s="24"/>
      <c r="K93" s="24"/>
      <c r="L93" s="24"/>
      <c r="M93" s="24"/>
      <c r="N93" s="24"/>
      <c r="O93" s="24"/>
      <c r="P93" s="24"/>
      <c r="Q93" s="24"/>
      <c r="R93" s="24"/>
      <c r="S93" s="26"/>
      <c r="T93" s="26"/>
      <c r="U93" s="26"/>
    </row>
    <row r="94" spans="2:21">
      <c r="B94" s="33">
        <f>B93+0.1</f>
        <v>2.7000000000000006</v>
      </c>
      <c r="C94" s="27" t="s">
        <v>379</v>
      </c>
      <c r="D94" s="27"/>
      <c r="E94" s="27"/>
      <c r="F94" s="27"/>
      <c r="G94" s="27"/>
      <c r="H94" s="24"/>
      <c r="I94" s="24"/>
      <c r="J94" s="24"/>
      <c r="K94" s="24"/>
      <c r="L94" s="24"/>
      <c r="M94" s="24"/>
      <c r="N94" s="24"/>
      <c r="O94" s="24"/>
      <c r="P94" s="24"/>
      <c r="Q94" s="24"/>
      <c r="R94" s="24"/>
      <c r="S94" s="26"/>
      <c r="T94" s="26"/>
      <c r="U94" s="26"/>
    </row>
    <row r="95" spans="2:21">
      <c r="B95" s="33"/>
      <c r="C95" s="27"/>
      <c r="D95" s="27"/>
      <c r="E95" s="27"/>
      <c r="F95" s="27"/>
      <c r="G95" s="27"/>
      <c r="H95" s="24"/>
      <c r="I95" s="24"/>
      <c r="J95" s="24"/>
      <c r="K95" s="24"/>
      <c r="L95" s="24"/>
      <c r="M95" s="24"/>
      <c r="N95" s="24"/>
      <c r="O95" s="24"/>
      <c r="P95" s="24"/>
      <c r="Q95" s="24"/>
      <c r="R95" s="24"/>
      <c r="S95" s="26"/>
      <c r="T95" s="26"/>
      <c r="U95" s="26"/>
    </row>
    <row r="96" spans="2:21">
      <c r="B96" s="44">
        <v>3</v>
      </c>
      <c r="C96" s="28" t="s">
        <v>391</v>
      </c>
      <c r="D96" s="28"/>
      <c r="E96" s="28"/>
      <c r="F96" s="28"/>
      <c r="G96" s="28"/>
      <c r="H96" s="24"/>
      <c r="I96" s="24"/>
      <c r="J96" s="24"/>
      <c r="K96" s="24"/>
      <c r="L96" s="24"/>
      <c r="M96" s="24"/>
      <c r="N96" s="24"/>
      <c r="O96" s="24"/>
      <c r="P96" s="24"/>
      <c r="Q96" s="24"/>
      <c r="R96" s="24"/>
    </row>
    <row r="97" spans="2:18">
      <c r="B97" s="33"/>
      <c r="C97" s="27" t="s">
        <v>278</v>
      </c>
      <c r="D97" s="27"/>
      <c r="E97" s="27"/>
      <c r="F97" s="27"/>
      <c r="G97" s="27"/>
      <c r="H97" s="24"/>
      <c r="I97" s="24"/>
      <c r="J97" s="24"/>
      <c r="K97" s="24"/>
      <c r="L97" s="24"/>
      <c r="M97" s="24"/>
      <c r="N97" s="24"/>
      <c r="O97" s="24"/>
      <c r="P97" s="24"/>
      <c r="Q97" s="24"/>
      <c r="R97" s="24"/>
    </row>
    <row r="98" spans="2:18">
      <c r="B98" s="33"/>
      <c r="C98" s="27" t="s">
        <v>278</v>
      </c>
      <c r="D98" s="27"/>
      <c r="E98" s="27"/>
      <c r="F98" s="27"/>
      <c r="G98" s="27"/>
      <c r="H98" s="24"/>
      <c r="I98" s="24"/>
      <c r="J98" s="24"/>
      <c r="K98" s="24"/>
      <c r="L98" s="24"/>
      <c r="M98" s="24"/>
      <c r="N98" s="24"/>
      <c r="O98" s="24"/>
      <c r="P98" s="24"/>
      <c r="Q98" s="24"/>
      <c r="R98" s="24"/>
    </row>
    <row r="99" spans="2:18">
      <c r="B99" s="33"/>
      <c r="C99" s="27" t="s">
        <v>278</v>
      </c>
      <c r="D99" s="27"/>
      <c r="E99" s="27"/>
      <c r="F99" s="27"/>
      <c r="G99" s="27"/>
      <c r="H99" s="24"/>
      <c r="I99" s="24"/>
      <c r="J99" s="24"/>
      <c r="K99" s="24"/>
      <c r="L99" s="24"/>
      <c r="M99" s="24"/>
      <c r="N99" s="24"/>
      <c r="O99" s="24"/>
      <c r="P99" s="24"/>
      <c r="Q99" s="24"/>
      <c r="R99" s="24"/>
    </row>
    <row r="100" spans="2:18">
      <c r="B100" s="33"/>
      <c r="C100" s="27"/>
      <c r="D100" s="27"/>
      <c r="E100" s="27"/>
      <c r="F100" s="27"/>
      <c r="G100" s="27"/>
      <c r="H100" s="24"/>
      <c r="I100" s="24"/>
      <c r="J100" s="24"/>
      <c r="K100" s="24"/>
      <c r="L100" s="24"/>
      <c r="M100" s="24"/>
      <c r="N100" s="24"/>
      <c r="O100" s="24"/>
      <c r="P100" s="24"/>
      <c r="Q100" s="24"/>
      <c r="R100" s="24"/>
    </row>
    <row r="101" spans="2:18">
      <c r="B101" s="44">
        <v>10</v>
      </c>
      <c r="C101" s="28" t="s">
        <v>235</v>
      </c>
      <c r="D101" s="28"/>
      <c r="E101" s="28"/>
      <c r="F101" s="28"/>
      <c r="G101" s="27"/>
      <c r="H101" s="24"/>
      <c r="I101" s="24"/>
      <c r="J101" s="24"/>
      <c r="K101" s="24"/>
      <c r="L101" s="24"/>
      <c r="M101" s="24"/>
      <c r="N101" s="24"/>
      <c r="O101" s="24"/>
      <c r="P101" s="24"/>
      <c r="Q101" s="24"/>
      <c r="R101" s="24"/>
    </row>
    <row r="102" spans="2:18">
      <c r="B102" s="33">
        <f t="shared" ref="B102:B105" si="11">B101+0.1</f>
        <v>10.1</v>
      </c>
      <c r="C102" s="27" t="s">
        <v>384</v>
      </c>
      <c r="D102" s="27"/>
      <c r="E102" s="27"/>
      <c r="F102" s="27"/>
      <c r="G102" s="27"/>
      <c r="H102" s="24"/>
      <c r="I102" s="24"/>
      <c r="J102" s="24"/>
      <c r="K102" s="24"/>
      <c r="L102" s="24"/>
      <c r="M102" s="24"/>
      <c r="N102" s="24"/>
      <c r="O102" s="24"/>
      <c r="P102" s="24"/>
      <c r="Q102" s="24"/>
      <c r="R102" s="24"/>
    </row>
    <row r="103" spans="2:18">
      <c r="B103" s="33">
        <f t="shared" si="11"/>
        <v>10.199999999999999</v>
      </c>
      <c r="C103" s="27" t="s">
        <v>372</v>
      </c>
      <c r="D103" s="27"/>
      <c r="E103" s="27"/>
      <c r="F103" s="27"/>
      <c r="G103" s="27"/>
      <c r="H103" s="24"/>
      <c r="I103" s="24"/>
      <c r="J103" s="24"/>
      <c r="K103" s="24"/>
      <c r="L103" s="24"/>
      <c r="M103" s="24"/>
      <c r="N103" s="24"/>
      <c r="O103" s="24"/>
      <c r="P103" s="24"/>
      <c r="Q103" s="24"/>
      <c r="R103" s="24"/>
    </row>
    <row r="104" spans="2:18">
      <c r="B104" s="33">
        <f t="shared" si="11"/>
        <v>10.299999999999999</v>
      </c>
      <c r="C104" s="27" t="s">
        <v>386</v>
      </c>
      <c r="D104" s="27"/>
      <c r="E104" s="27"/>
      <c r="F104" s="27"/>
      <c r="G104" s="27"/>
      <c r="H104" s="24"/>
      <c r="I104" s="24"/>
      <c r="J104" s="24"/>
      <c r="K104" s="24"/>
      <c r="L104" s="24"/>
      <c r="M104" s="24"/>
      <c r="N104" s="24"/>
      <c r="O104" s="24"/>
      <c r="P104" s="24"/>
      <c r="Q104" s="24"/>
      <c r="R104" s="24"/>
    </row>
    <row r="105" spans="2:18">
      <c r="B105" s="33">
        <f t="shared" si="11"/>
        <v>10.399999999999999</v>
      </c>
      <c r="C105" s="27" t="s">
        <v>387</v>
      </c>
      <c r="D105" s="27"/>
      <c r="E105" s="27"/>
      <c r="F105" s="27"/>
      <c r="G105" s="27"/>
      <c r="H105" s="24"/>
      <c r="I105" s="24"/>
      <c r="J105" s="24"/>
      <c r="K105" s="24"/>
      <c r="L105" s="24"/>
      <c r="M105" s="24"/>
      <c r="N105" s="24"/>
      <c r="O105" s="24"/>
      <c r="P105" s="24"/>
      <c r="Q105" s="24"/>
      <c r="R105" s="24"/>
    </row>
    <row r="106" spans="2:18">
      <c r="B106" s="33">
        <f>B105+0.1</f>
        <v>10.499999999999998</v>
      </c>
      <c r="C106" s="27" t="s">
        <v>388</v>
      </c>
      <c r="D106" s="27"/>
      <c r="E106" s="27"/>
      <c r="F106" s="27"/>
      <c r="G106" s="27"/>
      <c r="H106" s="24"/>
      <c r="I106" s="24"/>
      <c r="J106" s="24"/>
      <c r="K106" s="24"/>
      <c r="L106" s="24"/>
      <c r="M106" s="24"/>
      <c r="N106" s="24"/>
      <c r="O106" s="24"/>
      <c r="P106" s="24"/>
      <c r="Q106" s="24"/>
      <c r="R106" s="24"/>
    </row>
    <row r="107" spans="2:18">
      <c r="B107" s="33">
        <f>B106+0.1</f>
        <v>10.599999999999998</v>
      </c>
      <c r="C107" s="27" t="s">
        <v>389</v>
      </c>
      <c r="D107" s="27"/>
      <c r="E107" s="27"/>
      <c r="F107" s="27"/>
      <c r="G107" s="27"/>
      <c r="H107" s="24"/>
      <c r="I107" s="24"/>
      <c r="J107" s="24"/>
      <c r="K107" s="24"/>
      <c r="L107" s="24"/>
      <c r="M107" s="24"/>
      <c r="N107" s="24"/>
      <c r="O107" s="24"/>
      <c r="P107" s="24"/>
      <c r="Q107" s="24"/>
      <c r="R107" s="24"/>
    </row>
    <row r="108" spans="2:18">
      <c r="B108" s="33">
        <f>B107+0.1</f>
        <v>10.699999999999998</v>
      </c>
      <c r="C108" s="27" t="s">
        <v>379</v>
      </c>
      <c r="D108" s="27"/>
      <c r="E108" s="27"/>
      <c r="F108" s="27"/>
      <c r="G108" s="27"/>
      <c r="H108" s="24"/>
      <c r="I108" s="24"/>
      <c r="J108" s="24"/>
      <c r="K108" s="24"/>
      <c r="L108" s="24"/>
      <c r="M108" s="24"/>
      <c r="N108" s="24"/>
      <c r="O108" s="24"/>
      <c r="P108" s="24"/>
      <c r="Q108" s="24"/>
      <c r="R108" s="24"/>
    </row>
    <row r="109" spans="2:18">
      <c r="B109" s="33"/>
      <c r="C109" s="27"/>
      <c r="D109" s="27"/>
      <c r="E109" s="27"/>
      <c r="F109" s="27"/>
      <c r="G109" s="27"/>
      <c r="H109" s="24"/>
      <c r="I109" s="24"/>
      <c r="J109" s="24"/>
      <c r="K109" s="24"/>
      <c r="L109" s="24"/>
      <c r="M109" s="24"/>
      <c r="N109" s="24"/>
      <c r="O109" s="24"/>
      <c r="P109" s="24"/>
      <c r="Q109" s="24"/>
      <c r="R109" s="24"/>
    </row>
    <row r="110" spans="2:18">
      <c r="B110" s="33"/>
      <c r="C110" s="28"/>
      <c r="D110" s="28"/>
      <c r="E110" s="28"/>
      <c r="F110" s="28"/>
      <c r="G110" s="28"/>
      <c r="H110" s="24"/>
      <c r="I110" s="24"/>
      <c r="J110" s="24"/>
      <c r="K110" s="24"/>
      <c r="L110" s="24"/>
      <c r="M110" s="24"/>
      <c r="N110" s="24"/>
      <c r="O110" s="24"/>
      <c r="P110" s="24"/>
      <c r="Q110" s="24"/>
      <c r="R110" s="24"/>
    </row>
    <row r="111" spans="2:18">
      <c r="B111" s="33"/>
      <c r="C111" s="27"/>
      <c r="D111" s="27"/>
      <c r="E111" s="27"/>
      <c r="F111" s="27"/>
      <c r="G111" s="27"/>
      <c r="H111" s="24"/>
      <c r="I111" s="24"/>
      <c r="J111" s="24"/>
      <c r="K111" s="24"/>
      <c r="L111" s="24"/>
      <c r="M111" s="24"/>
      <c r="N111" s="24"/>
      <c r="O111" s="24"/>
      <c r="P111" s="24"/>
      <c r="Q111" s="24"/>
      <c r="R111" s="24"/>
    </row>
    <row r="112" spans="2:18">
      <c r="B112" s="33">
        <v>9</v>
      </c>
      <c r="C112" s="28" t="s">
        <v>392</v>
      </c>
      <c r="D112" s="28"/>
      <c r="E112" s="28"/>
      <c r="F112" s="28"/>
      <c r="G112" s="28"/>
      <c r="H112" s="29"/>
      <c r="I112" s="29"/>
      <c r="J112" s="29"/>
      <c r="K112" s="29"/>
      <c r="L112" s="29"/>
      <c r="M112" s="29"/>
      <c r="N112" s="29"/>
      <c r="O112" s="29"/>
      <c r="P112" s="24"/>
      <c r="Q112" s="24"/>
      <c r="R112" s="24"/>
    </row>
    <row r="113" spans="2:18">
      <c r="B113" s="33">
        <v>10</v>
      </c>
      <c r="C113" s="30" t="s">
        <v>159</v>
      </c>
      <c r="D113" s="30"/>
      <c r="E113" s="30"/>
      <c r="F113" s="30"/>
      <c r="G113" s="30"/>
      <c r="H113" s="24"/>
      <c r="I113" s="24"/>
      <c r="J113" s="24"/>
      <c r="K113" s="24"/>
      <c r="L113" s="24"/>
      <c r="M113" s="24"/>
      <c r="N113" s="24"/>
      <c r="O113" s="24"/>
      <c r="P113" s="24"/>
      <c r="Q113" s="24"/>
      <c r="R113" s="24"/>
    </row>
    <row r="114" spans="2:18">
      <c r="B114" s="44">
        <v>11</v>
      </c>
      <c r="C114" s="29" t="s">
        <v>393</v>
      </c>
      <c r="D114" s="29"/>
      <c r="E114" s="29"/>
      <c r="F114" s="29"/>
      <c r="G114" s="29"/>
      <c r="H114" s="24"/>
      <c r="I114" s="24"/>
      <c r="J114" s="24"/>
      <c r="K114" s="24"/>
      <c r="L114" s="24"/>
      <c r="M114" s="24"/>
      <c r="N114" s="24"/>
      <c r="O114" s="24"/>
      <c r="P114" s="24"/>
      <c r="Q114" s="24"/>
      <c r="R114" s="24"/>
    </row>
    <row r="115" spans="2:18">
      <c r="B115" s="33"/>
      <c r="C115" s="31"/>
      <c r="D115" s="31"/>
      <c r="E115" s="31"/>
      <c r="F115" s="31"/>
      <c r="G115" s="31"/>
      <c r="H115" s="24"/>
      <c r="I115" s="24"/>
      <c r="J115" s="24"/>
      <c r="K115" s="24"/>
      <c r="L115" s="24"/>
      <c r="M115" s="24"/>
      <c r="N115" s="24"/>
      <c r="O115" s="24"/>
      <c r="P115" s="24"/>
      <c r="Q115" s="24"/>
      <c r="R115" s="24"/>
    </row>
    <row r="116" spans="2:18">
      <c r="B116" s="57"/>
      <c r="C116" s="115" t="s">
        <v>395</v>
      </c>
      <c r="D116" s="115"/>
      <c r="E116" s="115"/>
      <c r="F116" s="115"/>
      <c r="R116" s="24"/>
    </row>
  </sheetData>
  <mergeCells count="22">
    <mergeCell ref="R8:R9"/>
    <mergeCell ref="B27:B28"/>
    <mergeCell ref="C27:C28"/>
    <mergeCell ref="G27:I27"/>
    <mergeCell ref="J27:L27"/>
    <mergeCell ref="M27:Q27"/>
    <mergeCell ref="R27:R28"/>
    <mergeCell ref="B8:B9"/>
    <mergeCell ref="C8:C9"/>
    <mergeCell ref="G8:I8"/>
    <mergeCell ref="J8:L8"/>
    <mergeCell ref="M8:Q8"/>
    <mergeCell ref="D8:F8"/>
    <mergeCell ref="D27:F27"/>
    <mergeCell ref="M74:Q74"/>
    <mergeCell ref="R74:R75"/>
    <mergeCell ref="C69:G69"/>
    <mergeCell ref="B74:B75"/>
    <mergeCell ref="C74:C75"/>
    <mergeCell ref="G74:I74"/>
    <mergeCell ref="J74:L74"/>
    <mergeCell ref="D74:F74"/>
  </mergeCells>
  <pageMargins left="1.02" right="0.25" top="1" bottom="1" header="0.25" footer="0.25"/>
  <pageSetup paperSize="9" scale="33" orientation="landscape" r:id="rId1"/>
  <headerFooter alignWithMargins="0">
    <oddHeader>&amp;F</oddHeader>
  </headerFooter>
  <rowBreaks count="1" manualBreakCount="1">
    <brk id="70" min="1" max="17" man="1"/>
  </rowBreaks>
</worksheet>
</file>

<file path=xl/worksheets/sheet2.xml><?xml version="1.0" encoding="utf-8"?>
<worksheet xmlns="http://schemas.openxmlformats.org/spreadsheetml/2006/main" xmlns:r="http://schemas.openxmlformats.org/officeDocument/2006/relationships">
  <sheetPr codeName="Sheet6">
    <pageSetUpPr fitToPage="1"/>
  </sheetPr>
  <dimension ref="B2:U28"/>
  <sheetViews>
    <sheetView showGridLines="0" view="pageBreakPreview" topLeftCell="L18" zoomScale="90" zoomScaleNormal="60" zoomScaleSheetLayoutView="90" workbookViewId="0">
      <selection activeCell="O22" sqref="O22"/>
    </sheetView>
  </sheetViews>
  <sheetFormatPr defaultColWidth="9.28515625" defaultRowHeight="15"/>
  <cols>
    <col min="1" max="1" width="6.7109375" style="3" customWidth="1"/>
    <col min="2" max="2" width="5.7109375" style="55" customWidth="1"/>
    <col min="3" max="3" width="63.42578125" style="3" bestFit="1" customWidth="1"/>
    <col min="4" max="4" width="19.28515625" style="3" bestFit="1" customWidth="1"/>
    <col min="5" max="8" width="19.28515625" style="3" customWidth="1"/>
    <col min="9" max="10" width="17" style="3" customWidth="1"/>
    <col min="11" max="19" width="18.7109375" style="3" customWidth="1"/>
    <col min="20" max="20" width="16.7109375" style="3" customWidth="1"/>
    <col min="21" max="21" width="14.28515625" style="3" customWidth="1"/>
    <col min="22" max="16384" width="9.28515625" style="3"/>
  </cols>
  <sheetData>
    <row r="2" spans="2:21" s="1" customFormat="1">
      <c r="B2" s="157"/>
      <c r="C2" s="8"/>
      <c r="D2" s="8"/>
      <c r="E2" s="8"/>
      <c r="F2" s="8"/>
      <c r="G2" s="8"/>
      <c r="H2" s="81" t="s">
        <v>0</v>
      </c>
      <c r="I2" s="8"/>
      <c r="J2" s="8"/>
      <c r="K2" s="8"/>
      <c r="L2" s="8"/>
      <c r="M2" s="8"/>
      <c r="N2" s="8"/>
      <c r="O2" s="8"/>
      <c r="P2" s="8"/>
      <c r="Q2" s="8"/>
      <c r="R2" s="8"/>
      <c r="S2" s="8"/>
      <c r="T2" s="8"/>
      <c r="U2" s="8"/>
    </row>
    <row r="3" spans="2:21" s="1" customFormat="1">
      <c r="B3" s="157"/>
      <c r="C3" s="158"/>
      <c r="D3" s="158"/>
      <c r="E3" s="158"/>
      <c r="F3" s="158"/>
      <c r="G3" s="158"/>
      <c r="H3" s="88" t="s">
        <v>1</v>
      </c>
      <c r="I3" s="158"/>
      <c r="J3" s="158"/>
      <c r="K3" s="158"/>
      <c r="L3" s="158"/>
      <c r="M3" s="158"/>
      <c r="N3" s="158"/>
      <c r="O3" s="158"/>
      <c r="P3" s="158"/>
      <c r="Q3" s="158"/>
      <c r="R3" s="158"/>
      <c r="S3" s="158"/>
      <c r="T3" s="158"/>
      <c r="U3" s="158"/>
    </row>
    <row r="4" spans="2:21" s="1" customFormat="1">
      <c r="B4" s="157"/>
      <c r="C4" s="8"/>
      <c r="D4" s="8"/>
      <c r="E4" s="8"/>
      <c r="F4" s="8"/>
      <c r="G4" s="8"/>
      <c r="H4" s="81" t="s">
        <v>55</v>
      </c>
      <c r="I4" s="8"/>
      <c r="J4" s="8"/>
      <c r="K4" s="8"/>
      <c r="L4" s="8"/>
      <c r="M4" s="8"/>
      <c r="N4" s="8"/>
      <c r="O4" s="8"/>
      <c r="P4" s="8"/>
      <c r="Q4" s="8"/>
      <c r="R4" s="8"/>
      <c r="S4" s="8"/>
      <c r="T4" s="8"/>
      <c r="U4" s="8"/>
    </row>
    <row r="6" spans="2:21">
      <c r="U6" s="5" t="s">
        <v>1198</v>
      </c>
    </row>
    <row r="7" spans="2:21" s="17" customFormat="1" ht="12.75" customHeight="1">
      <c r="B7" s="956" t="s">
        <v>2</v>
      </c>
      <c r="C7" s="959" t="s">
        <v>57</v>
      </c>
      <c r="D7" s="961" t="s">
        <v>4</v>
      </c>
      <c r="E7" s="963" t="s">
        <v>58</v>
      </c>
      <c r="F7" s="964"/>
      <c r="G7" s="965"/>
      <c r="H7" s="963" t="s">
        <v>59</v>
      </c>
      <c r="I7" s="964"/>
      <c r="J7" s="965"/>
      <c r="K7" s="963" t="s">
        <v>60</v>
      </c>
      <c r="L7" s="964"/>
      <c r="M7" s="964"/>
      <c r="N7" s="964"/>
      <c r="O7" s="965"/>
      <c r="P7" s="954" t="s">
        <v>61</v>
      </c>
      <c r="Q7" s="954"/>
      <c r="R7" s="954"/>
      <c r="S7" s="954"/>
      <c r="T7" s="954"/>
      <c r="U7" s="954" t="s">
        <v>62</v>
      </c>
    </row>
    <row r="8" spans="2:21" s="17" customFormat="1" ht="28.5">
      <c r="B8" s="957"/>
      <c r="C8" s="959"/>
      <c r="D8" s="961"/>
      <c r="E8" s="198" t="s">
        <v>63</v>
      </c>
      <c r="F8" s="198" t="s">
        <v>64</v>
      </c>
      <c r="G8" s="198" t="s">
        <v>65</v>
      </c>
      <c r="H8" s="198" t="s">
        <v>63</v>
      </c>
      <c r="I8" s="198" t="s">
        <v>64</v>
      </c>
      <c r="J8" s="198" t="s">
        <v>65</v>
      </c>
      <c r="K8" s="198" t="s">
        <v>63</v>
      </c>
      <c r="L8" s="198" t="s">
        <v>66</v>
      </c>
      <c r="M8" s="198" t="s">
        <v>67</v>
      </c>
      <c r="N8" s="198" t="s">
        <v>68</v>
      </c>
      <c r="O8" s="198" t="s">
        <v>69</v>
      </c>
      <c r="P8" s="198" t="s">
        <v>70</v>
      </c>
      <c r="Q8" s="198" t="s">
        <v>71</v>
      </c>
      <c r="R8" s="198" t="s">
        <v>72</v>
      </c>
      <c r="S8" s="198" t="s">
        <v>73</v>
      </c>
      <c r="T8" s="198" t="s">
        <v>74</v>
      </c>
      <c r="U8" s="954"/>
    </row>
    <row r="9" spans="2:21" s="17" customFormat="1">
      <c r="B9" s="958"/>
      <c r="C9" s="960"/>
      <c r="D9" s="962"/>
      <c r="E9" s="198" t="s">
        <v>75</v>
      </c>
      <c r="F9" s="198" t="s">
        <v>76</v>
      </c>
      <c r="G9" s="198" t="s">
        <v>77</v>
      </c>
      <c r="H9" s="198" t="s">
        <v>78</v>
      </c>
      <c r="I9" s="198" t="s">
        <v>79</v>
      </c>
      <c r="J9" s="198" t="s">
        <v>80</v>
      </c>
      <c r="K9" s="198" t="s">
        <v>81</v>
      </c>
      <c r="L9" s="198" t="s">
        <v>82</v>
      </c>
      <c r="M9" s="198" t="s">
        <v>83</v>
      </c>
      <c r="N9" s="198" t="s">
        <v>84</v>
      </c>
      <c r="O9" s="198" t="s">
        <v>85</v>
      </c>
      <c r="P9" s="198" t="s">
        <v>86</v>
      </c>
      <c r="Q9" s="198" t="s">
        <v>86</v>
      </c>
      <c r="R9" s="198" t="s">
        <v>86</v>
      </c>
      <c r="S9" s="198" t="s">
        <v>86</v>
      </c>
      <c r="T9" s="198" t="s">
        <v>86</v>
      </c>
      <c r="U9" s="955"/>
    </row>
    <row r="10" spans="2:21">
      <c r="B10" s="159">
        <v>1</v>
      </c>
      <c r="C10" s="90" t="s">
        <v>87</v>
      </c>
      <c r="D10" s="89" t="s">
        <v>8</v>
      </c>
      <c r="E10" s="496">
        <v>3224.97</v>
      </c>
      <c r="F10" s="496">
        <f>'F2'!F14</f>
        <v>3680.990245</v>
      </c>
      <c r="G10" s="496">
        <f>F10-E10</f>
        <v>456.02024500000016</v>
      </c>
      <c r="H10" s="497">
        <v>3511.09</v>
      </c>
      <c r="I10" s="497">
        <f>'F2'!I14</f>
        <v>3837.6046074999995</v>
      </c>
      <c r="J10" s="496">
        <f>I10-H10</f>
        <v>326.51460749999933</v>
      </c>
      <c r="K10" s="421">
        <v>3591.59</v>
      </c>
      <c r="L10" s="421"/>
      <c r="M10" s="421"/>
      <c r="N10" s="421">
        <f>'F2'!N14</f>
        <v>4206.252517546015</v>
      </c>
      <c r="O10" s="421">
        <f>N10-K10</f>
        <v>614.6625175460149</v>
      </c>
      <c r="P10" s="421">
        <f>'F2'!P14</f>
        <v>4248.4174582755277</v>
      </c>
      <c r="Q10" s="421">
        <f>'F2'!Q14</f>
        <v>4120.4737674306389</v>
      </c>
      <c r="R10" s="421">
        <f>'F2'!R14</f>
        <v>4310.5200464287373</v>
      </c>
      <c r="S10" s="421">
        <f>'F2'!S14</f>
        <v>4509.3317223689319</v>
      </c>
      <c r="T10" s="421">
        <f>'F2'!T14</f>
        <v>4717.3130766923414</v>
      </c>
      <c r="U10" s="421"/>
    </row>
    <row r="11" spans="2:21">
      <c r="B11" s="159">
        <f>B10+1</f>
        <v>2</v>
      </c>
      <c r="C11" s="90" t="s">
        <v>88</v>
      </c>
      <c r="D11" s="89" t="s">
        <v>26</v>
      </c>
      <c r="E11" s="496">
        <v>115.6</v>
      </c>
      <c r="F11" s="496">
        <f>'F4'!E60</f>
        <v>115.6</v>
      </c>
      <c r="G11" s="496">
        <f t="shared" ref="G11:G16" si="0">F11-E11</f>
        <v>0</v>
      </c>
      <c r="H11" s="497">
        <v>115.51</v>
      </c>
      <c r="I11" s="497">
        <f>'F4'!I60</f>
        <v>115.51</v>
      </c>
      <c r="J11" s="496">
        <f t="shared" ref="J11:J22" si="1">I11-H11</f>
        <v>0</v>
      </c>
      <c r="K11" s="421">
        <v>114.13</v>
      </c>
      <c r="L11" s="421"/>
      <c r="M11" s="421"/>
      <c r="N11" s="421">
        <f>'F4'!M60</f>
        <v>114.13</v>
      </c>
      <c r="O11" s="421">
        <f t="shared" ref="O11:O22" si="2">N11-K11</f>
        <v>0</v>
      </c>
      <c r="P11" s="421">
        <f ca="1">'F4'!Q60</f>
        <v>114.13</v>
      </c>
      <c r="Q11" s="421">
        <f ca="1">'F4'!E76</f>
        <v>656.80026696655671</v>
      </c>
      <c r="R11" s="421">
        <f ca="1">'F4'!I76</f>
        <v>1621.3577839331133</v>
      </c>
      <c r="S11" s="421">
        <f ca="1">'F4'!M76</f>
        <v>2342.4087839331132</v>
      </c>
      <c r="T11" s="421">
        <f ca="1">'F4'!Q76</f>
        <v>2924.1807339331131</v>
      </c>
      <c r="U11" s="421"/>
    </row>
    <row r="12" spans="2:21">
      <c r="B12" s="159">
        <f t="shared" ref="B12:B22" si="3">B11+1</f>
        <v>3</v>
      </c>
      <c r="C12" s="90" t="s">
        <v>31</v>
      </c>
      <c r="D12" s="89" t="s">
        <v>32</v>
      </c>
      <c r="E12" s="496">
        <v>60.11</v>
      </c>
      <c r="F12" s="496">
        <f>'F5'!E21</f>
        <v>60.917359999999988</v>
      </c>
      <c r="G12" s="496">
        <f t="shared" si="0"/>
        <v>0.80735999999998853</v>
      </c>
      <c r="H12" s="497">
        <v>49.79</v>
      </c>
      <c r="I12" s="497">
        <f>'F5'!H21</f>
        <v>52.188083999999996</v>
      </c>
      <c r="J12" s="496">
        <f t="shared" si="1"/>
        <v>2.3980839999999972</v>
      </c>
      <c r="K12" s="421">
        <v>39.54</v>
      </c>
      <c r="L12" s="421"/>
      <c r="M12" s="421"/>
      <c r="N12" s="421">
        <f>'F5'!K21</f>
        <v>41.440931999999997</v>
      </c>
      <c r="O12" s="421">
        <f t="shared" si="2"/>
        <v>1.9009319999999974</v>
      </c>
      <c r="P12" s="421">
        <f ca="1">'F5'!M21</f>
        <v>30.758363999999997</v>
      </c>
      <c r="Q12" s="421">
        <f ca="1">'F5'!N21</f>
        <v>401.65811934598389</v>
      </c>
      <c r="R12" s="421">
        <f ca="1">'F5'!O21</f>
        <v>966.06521440389804</v>
      </c>
      <c r="S12" s="421">
        <f ca="1">'F5'!P21</f>
        <v>1218.7259390277588</v>
      </c>
      <c r="T12" s="421">
        <f ca="1">'F5'!Q21</f>
        <v>1271.5776695916193</v>
      </c>
      <c r="U12" s="421"/>
    </row>
    <row r="13" spans="2:21">
      <c r="B13" s="159">
        <f t="shared" si="3"/>
        <v>4</v>
      </c>
      <c r="C13" s="91" t="s">
        <v>89</v>
      </c>
      <c r="D13" s="89" t="s">
        <v>34</v>
      </c>
      <c r="E13" s="496">
        <v>66.5</v>
      </c>
      <c r="F13" s="496">
        <f>'F6'!F19</f>
        <v>65.024065229594726</v>
      </c>
      <c r="G13" s="496">
        <f t="shared" si="0"/>
        <v>-1.4759347704052743</v>
      </c>
      <c r="H13" s="497">
        <v>63.99</v>
      </c>
      <c r="I13" s="497">
        <f>'F6'!H19</f>
        <v>68.203361927598905</v>
      </c>
      <c r="J13" s="496">
        <f t="shared" si="1"/>
        <v>4.2133619275989034</v>
      </c>
      <c r="K13" s="421">
        <v>67.290000000000006</v>
      </c>
      <c r="L13" s="421"/>
      <c r="M13" s="421"/>
      <c r="N13" s="421">
        <f>'F6'!J19</f>
        <v>79.7590808819632</v>
      </c>
      <c r="O13" s="421">
        <f t="shared" si="2"/>
        <v>12.469080881963194</v>
      </c>
      <c r="P13" s="421">
        <f ca="1">'F6'!K19</f>
        <v>82.495694866185545</v>
      </c>
      <c r="Q13" s="421">
        <f ca="1">'F6'!L19</f>
        <v>99.15959273459228</v>
      </c>
      <c r="R13" s="421">
        <f ca="1">'F6'!M19</f>
        <v>129.95459353224129</v>
      </c>
      <c r="S13" s="421">
        <f ca="1">'F6'!N19</f>
        <v>151.60857377934227</v>
      </c>
      <c r="T13" s="421">
        <f ca="1">'F6'!O19</f>
        <v>167.83211602826495</v>
      </c>
      <c r="U13" s="421"/>
    </row>
    <row r="14" spans="2:21">
      <c r="B14" s="159">
        <f t="shared" si="3"/>
        <v>5</v>
      </c>
      <c r="C14" s="90" t="s">
        <v>35</v>
      </c>
      <c r="D14" s="89" t="s">
        <v>36</v>
      </c>
      <c r="E14" s="496">
        <v>651.52</v>
      </c>
      <c r="F14" s="496">
        <f>'F7'!E10</f>
        <v>829.15065000000004</v>
      </c>
      <c r="G14" s="496">
        <f t="shared" si="0"/>
        <v>177.63065000000006</v>
      </c>
      <c r="H14" s="497">
        <v>684.1</v>
      </c>
      <c r="I14" s="497">
        <f>'F7'!H10</f>
        <v>1129.32231</v>
      </c>
      <c r="J14" s="496">
        <f t="shared" si="1"/>
        <v>445.22230999999999</v>
      </c>
      <c r="K14" s="421">
        <v>718.3</v>
      </c>
      <c r="L14" s="421"/>
      <c r="M14" s="421"/>
      <c r="N14" s="421">
        <f>'F7'!M10</f>
        <v>866.04</v>
      </c>
      <c r="O14" s="421">
        <f t="shared" si="2"/>
        <v>147.74</v>
      </c>
      <c r="P14" s="421">
        <f>'F7'!O10</f>
        <v>909.34199999999998</v>
      </c>
      <c r="Q14" s="421">
        <f>'F7'!P10</f>
        <v>954.80910000000006</v>
      </c>
      <c r="R14" s="421">
        <f>'F7'!Q10</f>
        <v>1002.5495550000001</v>
      </c>
      <c r="S14" s="421">
        <f>'F7'!R10</f>
        <v>1052.6770327500001</v>
      </c>
      <c r="T14" s="421">
        <f>'F7'!S10</f>
        <v>1105.3108843875002</v>
      </c>
      <c r="U14" s="421"/>
    </row>
    <row r="15" spans="2:21">
      <c r="B15" s="159">
        <f t="shared" si="3"/>
        <v>6</v>
      </c>
      <c r="C15" s="91" t="s">
        <v>90</v>
      </c>
      <c r="D15" s="89" t="s">
        <v>38</v>
      </c>
      <c r="E15" s="496"/>
      <c r="F15" s="496"/>
      <c r="G15" s="496">
        <f t="shared" si="0"/>
        <v>0</v>
      </c>
      <c r="H15" s="497"/>
      <c r="I15" s="497"/>
      <c r="J15" s="496">
        <f t="shared" si="1"/>
        <v>0</v>
      </c>
      <c r="K15" s="421"/>
      <c r="L15" s="421"/>
      <c r="M15" s="421"/>
      <c r="N15" s="421"/>
      <c r="O15" s="421">
        <f t="shared" si="2"/>
        <v>0</v>
      </c>
      <c r="P15" s="421"/>
      <c r="Q15" s="421"/>
      <c r="R15" s="421"/>
      <c r="S15" s="421"/>
      <c r="T15" s="421"/>
      <c r="U15" s="421"/>
    </row>
    <row r="16" spans="2:21">
      <c r="B16" s="159">
        <f t="shared" si="3"/>
        <v>7</v>
      </c>
      <c r="C16" s="90" t="s">
        <v>37</v>
      </c>
      <c r="D16" s="89" t="s">
        <v>40</v>
      </c>
      <c r="E16" s="496"/>
      <c r="F16" s="496"/>
      <c r="G16" s="496">
        <f t="shared" si="0"/>
        <v>0</v>
      </c>
      <c r="H16" s="498"/>
      <c r="I16" s="498"/>
      <c r="J16" s="496">
        <f t="shared" si="1"/>
        <v>0</v>
      </c>
      <c r="K16" s="421"/>
      <c r="L16" s="421"/>
      <c r="M16" s="421"/>
      <c r="N16" s="421"/>
      <c r="O16" s="421">
        <f t="shared" si="2"/>
        <v>0</v>
      </c>
      <c r="P16" s="499"/>
      <c r="Q16" s="499"/>
      <c r="R16" s="499"/>
      <c r="S16" s="499"/>
      <c r="T16" s="499"/>
      <c r="U16" s="421"/>
    </row>
    <row r="17" spans="2:21" s="16" customFormat="1">
      <c r="B17" s="159">
        <f t="shared" si="3"/>
        <v>8</v>
      </c>
      <c r="C17" s="93" t="s">
        <v>91</v>
      </c>
      <c r="D17" s="95"/>
      <c r="E17" s="500">
        <f>SUM(E10:E16)</f>
        <v>4118.7</v>
      </c>
      <c r="F17" s="500">
        <f>SUM(F10:F16)</f>
        <v>4751.6823202295946</v>
      </c>
      <c r="G17" s="500">
        <f t="shared" ref="G17:T17" si="4">SUM(G10:G16)</f>
        <v>632.98232022959496</v>
      </c>
      <c r="H17" s="500">
        <f t="shared" si="4"/>
        <v>4424.4800000000005</v>
      </c>
      <c r="I17" s="500">
        <f t="shared" si="4"/>
        <v>5202.8283634275986</v>
      </c>
      <c r="J17" s="500">
        <f t="shared" si="4"/>
        <v>778.3483634275982</v>
      </c>
      <c r="K17" s="500">
        <f>SUM(K10:K16)-0.01</f>
        <v>4530.84</v>
      </c>
      <c r="L17" s="500">
        <f t="shared" si="4"/>
        <v>0</v>
      </c>
      <c r="M17" s="500">
        <f t="shared" si="4"/>
        <v>0</v>
      </c>
      <c r="N17" s="500">
        <f t="shared" si="4"/>
        <v>5307.6225304279787</v>
      </c>
      <c r="O17" s="500">
        <f t="shared" si="4"/>
        <v>776.77253042797815</v>
      </c>
      <c r="P17" s="500">
        <f t="shared" ca="1" si="4"/>
        <v>5385.1435171417133</v>
      </c>
      <c r="Q17" s="500">
        <f t="shared" ca="1" si="4"/>
        <v>6232.9008464777726</v>
      </c>
      <c r="R17" s="500">
        <f t="shared" ca="1" si="4"/>
        <v>8030.4471932979905</v>
      </c>
      <c r="S17" s="500">
        <f t="shared" ca="1" si="4"/>
        <v>9274.7520518591464</v>
      </c>
      <c r="T17" s="500">
        <f t="shared" ca="1" si="4"/>
        <v>10186.214480632838</v>
      </c>
      <c r="U17" s="421"/>
    </row>
    <row r="18" spans="2:21">
      <c r="B18" s="159">
        <f t="shared" si="3"/>
        <v>9</v>
      </c>
      <c r="C18" s="90" t="s">
        <v>92</v>
      </c>
      <c r="D18" s="89" t="s">
        <v>42</v>
      </c>
      <c r="E18" s="496">
        <v>177.44</v>
      </c>
      <c r="F18" s="496">
        <f>'F9'!E19</f>
        <v>191.13146000000003</v>
      </c>
      <c r="G18" s="496">
        <f>F18-E18</f>
        <v>13.691460000000035</v>
      </c>
      <c r="H18" s="497">
        <v>177.44</v>
      </c>
      <c r="I18" s="497">
        <f>'F9'!H19</f>
        <v>191.258205</v>
      </c>
      <c r="J18" s="496">
        <f t="shared" si="1"/>
        <v>13.818205000000006</v>
      </c>
      <c r="K18" s="421">
        <v>177.44</v>
      </c>
      <c r="L18" s="421"/>
      <c r="M18" s="421"/>
      <c r="N18" s="421">
        <f>'F9'!K19</f>
        <v>177.44300000000001</v>
      </c>
      <c r="O18" s="421">
        <f t="shared" si="2"/>
        <v>3.0000000000143245E-3</v>
      </c>
      <c r="P18" s="421">
        <f ca="1">'F9'!D43</f>
        <v>177.44300000000001</v>
      </c>
      <c r="Q18" s="421">
        <f ca="1">'F9'!E43</f>
        <v>438.3271614359096</v>
      </c>
      <c r="R18" s="421">
        <f ca="1">'F9'!F43</f>
        <v>868.4713228718191</v>
      </c>
      <c r="S18" s="421">
        <f ca="1">'F9'!G43</f>
        <v>1149.3463228718192</v>
      </c>
      <c r="T18" s="421">
        <f ca="1">'F9'!H43</f>
        <v>1341.2233228718192</v>
      </c>
      <c r="U18" s="421"/>
    </row>
    <row r="19" spans="2:21">
      <c r="B19" s="159">
        <f t="shared" si="3"/>
        <v>10</v>
      </c>
      <c r="C19" s="93" t="s">
        <v>93</v>
      </c>
      <c r="D19" s="89"/>
      <c r="E19" s="496">
        <f>E17+E18</f>
        <v>4296.1399999999994</v>
      </c>
      <c r="F19" s="496">
        <f t="shared" ref="F19:T19" si="5">F17+F18</f>
        <v>4942.8137802295942</v>
      </c>
      <c r="G19" s="496">
        <f t="shared" si="5"/>
        <v>646.67378022959497</v>
      </c>
      <c r="H19" s="496">
        <f t="shared" si="5"/>
        <v>4601.92</v>
      </c>
      <c r="I19" s="496">
        <f t="shared" si="5"/>
        <v>5394.0865684275986</v>
      </c>
      <c r="J19" s="496">
        <f t="shared" si="5"/>
        <v>792.16656842759824</v>
      </c>
      <c r="K19" s="496">
        <f t="shared" si="5"/>
        <v>4708.28</v>
      </c>
      <c r="L19" s="496">
        <f t="shared" si="5"/>
        <v>0</v>
      </c>
      <c r="M19" s="496">
        <f t="shared" si="5"/>
        <v>0</v>
      </c>
      <c r="N19" s="496">
        <f t="shared" si="5"/>
        <v>5485.065530427979</v>
      </c>
      <c r="O19" s="421">
        <f t="shared" si="2"/>
        <v>776.78553042797921</v>
      </c>
      <c r="P19" s="496">
        <f ca="1">P17+P18</f>
        <v>5562.5865171417136</v>
      </c>
      <c r="Q19" s="496">
        <f t="shared" ca="1" si="5"/>
        <v>6671.2280079136817</v>
      </c>
      <c r="R19" s="496">
        <f t="shared" ca="1" si="5"/>
        <v>8898.9185161698097</v>
      </c>
      <c r="S19" s="496">
        <f t="shared" ca="1" si="5"/>
        <v>10424.098374730966</v>
      </c>
      <c r="T19" s="496">
        <f t="shared" ca="1" si="5"/>
        <v>11527.437803504657</v>
      </c>
      <c r="U19" s="421"/>
    </row>
    <row r="20" spans="2:21">
      <c r="B20" s="159">
        <f t="shared" si="3"/>
        <v>11</v>
      </c>
      <c r="C20" s="90" t="s">
        <v>94</v>
      </c>
      <c r="D20" s="89" t="s">
        <v>44</v>
      </c>
      <c r="E20" s="496">
        <v>376.61</v>
      </c>
      <c r="F20" s="496">
        <f ca="1">'F10'!E25</f>
        <v>526.0663971990582</v>
      </c>
      <c r="G20" s="496">
        <f ca="1">F20-E20</f>
        <v>149.45639719905819</v>
      </c>
      <c r="H20" s="497">
        <v>297.94</v>
      </c>
      <c r="I20" s="497">
        <f ca="1">'F10'!H25</f>
        <v>722.5322871521671</v>
      </c>
      <c r="J20" s="496">
        <f t="shared" ca="1" si="1"/>
        <v>424.5922871521671</v>
      </c>
      <c r="K20" s="421">
        <v>154.46</v>
      </c>
      <c r="L20" s="421"/>
      <c r="M20" s="421"/>
      <c r="N20" s="421">
        <f ca="1">'F10'!M25</f>
        <v>645.72947245801709</v>
      </c>
      <c r="O20" s="421">
        <f t="shared" ca="1" si="2"/>
        <v>491.26947245801705</v>
      </c>
      <c r="P20" s="421">
        <f ca="1">'F10'!O25</f>
        <v>342.49228359668041</v>
      </c>
      <c r="Q20" s="421">
        <f ca="1">'F10'!P25</f>
        <v>90.132880498335197</v>
      </c>
      <c r="R20" s="421">
        <f ca="1">'F10'!Q25</f>
        <v>87.008885300000003</v>
      </c>
      <c r="S20" s="421">
        <f ca="1">'F10'!R25</f>
        <v>87.008885300000003</v>
      </c>
      <c r="T20" s="421">
        <f ca="1">'F10'!S25</f>
        <v>87.008885300000003</v>
      </c>
      <c r="U20" s="421"/>
    </row>
    <row r="21" spans="2:21">
      <c r="B21" s="159">
        <f t="shared" si="3"/>
        <v>12</v>
      </c>
      <c r="C21" s="90" t="s">
        <v>95</v>
      </c>
      <c r="D21" s="89" t="s">
        <v>46</v>
      </c>
      <c r="E21" s="496">
        <v>1203.4100000000001</v>
      </c>
      <c r="F21" s="496">
        <f>'F11'!R13</f>
        <v>1262.3598487000002</v>
      </c>
      <c r="G21" s="496">
        <f t="shared" ref="G21:G22" si="6">F21-E21</f>
        <v>58.949848700000075</v>
      </c>
      <c r="H21" s="497">
        <v>1227.48</v>
      </c>
      <c r="I21" s="497">
        <f>'F11'!R31</f>
        <v>581.97825999999998</v>
      </c>
      <c r="J21" s="496">
        <f t="shared" si="1"/>
        <v>-645.50174000000004</v>
      </c>
      <c r="K21" s="421">
        <v>1252.03</v>
      </c>
      <c r="L21" s="421"/>
      <c r="M21" s="421"/>
      <c r="N21" s="421">
        <f>I21</f>
        <v>581.97825999999998</v>
      </c>
      <c r="O21" s="421">
        <f t="shared" si="2"/>
        <v>-670.05174</v>
      </c>
      <c r="P21" s="421">
        <f>N21</f>
        <v>581.97825999999998</v>
      </c>
      <c r="Q21" s="421">
        <f>P21</f>
        <v>581.97825999999998</v>
      </c>
      <c r="R21" s="421">
        <f t="shared" ref="R21:T21" si="7">Q21</f>
        <v>581.97825999999998</v>
      </c>
      <c r="S21" s="421">
        <f t="shared" si="7"/>
        <v>581.97825999999998</v>
      </c>
      <c r="T21" s="421">
        <f t="shared" si="7"/>
        <v>581.97825999999998</v>
      </c>
      <c r="U21" s="421"/>
    </row>
    <row r="22" spans="2:21">
      <c r="B22" s="159">
        <f t="shared" si="3"/>
        <v>13</v>
      </c>
      <c r="C22" s="90" t="s">
        <v>1894</v>
      </c>
      <c r="D22" s="89" t="s">
        <v>46</v>
      </c>
      <c r="E22" s="496"/>
      <c r="F22" s="496">
        <f>'F11'!R18</f>
        <v>2279.2262700000001</v>
      </c>
      <c r="G22" s="496">
        <f t="shared" si="6"/>
        <v>2279.2262700000001</v>
      </c>
      <c r="H22" s="497"/>
      <c r="I22" s="497">
        <f>'F11'!R35</f>
        <v>1154.934385</v>
      </c>
      <c r="J22" s="496">
        <f t="shared" si="1"/>
        <v>1154.934385</v>
      </c>
      <c r="K22" s="421"/>
      <c r="L22" s="421"/>
      <c r="M22" s="421"/>
      <c r="N22" s="421">
        <f>I22</f>
        <v>1154.934385</v>
      </c>
      <c r="O22" s="421">
        <f t="shared" si="2"/>
        <v>1154.934385</v>
      </c>
      <c r="P22" s="421">
        <f>N22</f>
        <v>1154.934385</v>
      </c>
      <c r="Q22" s="421">
        <f>P22</f>
        <v>1154.934385</v>
      </c>
      <c r="R22" s="421">
        <f t="shared" ref="R22:T22" si="8">Q22</f>
        <v>1154.934385</v>
      </c>
      <c r="S22" s="421">
        <f t="shared" si="8"/>
        <v>1154.934385</v>
      </c>
      <c r="T22" s="421">
        <f t="shared" si="8"/>
        <v>1154.934385</v>
      </c>
      <c r="U22" s="421"/>
    </row>
    <row r="23" spans="2:21">
      <c r="B23" s="159">
        <f t="shared" ref="B23" si="9">B22+1</f>
        <v>14</v>
      </c>
      <c r="C23" s="93" t="s">
        <v>96</v>
      </c>
      <c r="D23" s="90"/>
      <c r="E23" s="498">
        <f>E19-SUM(E20:E22)</f>
        <v>2716.1199999999994</v>
      </c>
      <c r="F23" s="498">
        <f ca="1">F19-SUM(F20:F22)</f>
        <v>875.16126433053569</v>
      </c>
      <c r="G23" s="498">
        <f t="shared" ref="G23:T23" ca="1" si="10">G19-SUM(G20:G22)</f>
        <v>-1840.9587356694635</v>
      </c>
      <c r="H23" s="498">
        <f t="shared" si="10"/>
        <v>3076.5</v>
      </c>
      <c r="I23" s="498">
        <f t="shared" ca="1" si="10"/>
        <v>2934.6416362754317</v>
      </c>
      <c r="J23" s="498">
        <f t="shared" ca="1" si="10"/>
        <v>-141.8583637245689</v>
      </c>
      <c r="K23" s="498">
        <f t="shared" si="10"/>
        <v>3301.79</v>
      </c>
      <c r="L23" s="498">
        <f t="shared" si="10"/>
        <v>0</v>
      </c>
      <c r="M23" s="498">
        <f t="shared" si="10"/>
        <v>0</v>
      </c>
      <c r="N23" s="498">
        <f t="shared" ca="1" si="10"/>
        <v>3102.4234129699616</v>
      </c>
      <c r="O23" s="498">
        <f t="shared" ca="1" si="10"/>
        <v>-199.36658703003786</v>
      </c>
      <c r="P23" s="498">
        <f t="shared" ca="1" si="10"/>
        <v>3483.1815885450333</v>
      </c>
      <c r="Q23" s="498">
        <f t="shared" ca="1" si="10"/>
        <v>4844.1824824153464</v>
      </c>
      <c r="R23" s="498">
        <f t="shared" ca="1" si="10"/>
        <v>7074.9969858698096</v>
      </c>
      <c r="S23" s="498">
        <f t="shared" ca="1" si="10"/>
        <v>8600.1768444309655</v>
      </c>
      <c r="T23" s="498">
        <f t="shared" ca="1" si="10"/>
        <v>9703.5162732046574</v>
      </c>
      <c r="U23" s="421"/>
    </row>
    <row r="24" spans="2:21">
      <c r="B24" s="160"/>
      <c r="C24" s="161"/>
      <c r="D24" s="162"/>
      <c r="E24" s="568" t="s">
        <v>1507</v>
      </c>
      <c r="F24" s="162"/>
      <c r="G24" s="162"/>
      <c r="H24" s="162"/>
      <c r="I24" s="162"/>
      <c r="J24" s="162"/>
      <c r="K24" s="162"/>
      <c r="L24" s="162"/>
      <c r="M24" s="162"/>
      <c r="N24" s="162"/>
      <c r="O24" s="162"/>
      <c r="P24" s="162"/>
      <c r="Q24" s="162"/>
      <c r="R24" s="162"/>
      <c r="S24" s="162"/>
    </row>
    <row r="25" spans="2:21">
      <c r="B25" s="84">
        <v>13</v>
      </c>
      <c r="C25" s="3" t="s">
        <v>1508</v>
      </c>
      <c r="N25" s="458">
        <f>N21+N22</f>
        <v>1736.9126449999999</v>
      </c>
    </row>
    <row r="27" spans="2:21">
      <c r="M27" s="3" t="s">
        <v>1509</v>
      </c>
      <c r="N27" s="3">
        <v>3301.79</v>
      </c>
    </row>
    <row r="28" spans="2:21">
      <c r="M28" s="3" t="s">
        <v>1510</v>
      </c>
      <c r="N28" s="458">
        <f ca="1">N23-N27</f>
        <v>-199.36658703003832</v>
      </c>
    </row>
  </sheetData>
  <mergeCells count="8">
    <mergeCell ref="P7:T7"/>
    <mergeCell ref="U7:U9"/>
    <mergeCell ref="B7:B9"/>
    <mergeCell ref="C7:C9"/>
    <mergeCell ref="D7:D9"/>
    <mergeCell ref="H7:J7"/>
    <mergeCell ref="K7:O7"/>
    <mergeCell ref="E7:G7"/>
  </mergeCells>
  <phoneticPr fontId="0" type="noConversion"/>
  <printOptions verticalCentered="1"/>
  <pageMargins left="3.937007874015748E-2" right="3.937007874015748E-2" top="0.23622047244094491" bottom="0.23622047244094491" header="0.23622047244094491" footer="0.23622047244094491"/>
  <pageSetup paperSize="9" scale="37" orientation="landscape" r:id="rId1"/>
  <headerFooter alignWithMargins="0">
    <oddHeader>&amp;F</oddHeader>
  </headerFooter>
</worksheet>
</file>

<file path=xl/worksheets/sheet20.xml><?xml version="1.0" encoding="utf-8"?>
<worksheet xmlns="http://schemas.openxmlformats.org/spreadsheetml/2006/main" xmlns:r="http://schemas.openxmlformats.org/officeDocument/2006/relationships">
  <sheetPr>
    <pageSetUpPr fitToPage="1"/>
  </sheetPr>
  <dimension ref="B2:T34"/>
  <sheetViews>
    <sheetView showGridLines="0" view="pageBreakPreview" topLeftCell="C1" zoomScale="60" zoomScaleNormal="75" workbookViewId="0">
      <selection activeCell="R10" sqref="R10"/>
    </sheetView>
  </sheetViews>
  <sheetFormatPr defaultColWidth="9.28515625" defaultRowHeight="15"/>
  <cols>
    <col min="1" max="2" width="6.28515625" style="3" customWidth="1"/>
    <col min="3" max="3" width="53.7109375" style="3" bestFit="1" customWidth="1"/>
    <col min="4" max="6" width="16.28515625" style="3" customWidth="1"/>
    <col min="7" max="9" width="17" style="3" customWidth="1"/>
    <col min="10" max="13" width="15.7109375" style="3" customWidth="1"/>
    <col min="14" max="18" width="18.42578125" style="3" customWidth="1"/>
    <col min="19" max="19" width="15.7109375" style="3" customWidth="1"/>
    <col min="20" max="20" width="15.28515625" style="3" customWidth="1"/>
    <col min="21" max="16384" width="9.28515625" style="3"/>
  </cols>
  <sheetData>
    <row r="2" spans="2:20">
      <c r="C2" s="179"/>
      <c r="D2" s="179"/>
      <c r="E2" s="179"/>
      <c r="F2" s="179"/>
      <c r="G2" s="179"/>
      <c r="H2" s="179"/>
      <c r="I2" s="81" t="s">
        <v>0</v>
      </c>
      <c r="J2" s="179"/>
      <c r="K2" s="179"/>
      <c r="L2" s="179"/>
      <c r="M2" s="179"/>
      <c r="N2" s="179"/>
      <c r="O2" s="179"/>
      <c r="P2" s="179"/>
      <c r="Q2" s="179"/>
      <c r="R2" s="179"/>
      <c r="S2" s="179"/>
    </row>
    <row r="3" spans="2:20" s="1" customFormat="1">
      <c r="C3" s="179"/>
      <c r="D3" s="179"/>
      <c r="E3" s="179"/>
      <c r="F3" s="179"/>
      <c r="G3" s="179"/>
      <c r="H3" s="179"/>
      <c r="I3" s="88" t="s">
        <v>1</v>
      </c>
      <c r="J3" s="179"/>
      <c r="K3" s="179"/>
      <c r="L3" s="179"/>
      <c r="M3" s="179"/>
      <c r="N3" s="179"/>
      <c r="O3" s="179"/>
      <c r="P3" s="179"/>
      <c r="Q3" s="179"/>
      <c r="R3" s="179"/>
      <c r="S3" s="179"/>
    </row>
    <row r="4" spans="2:20" s="1" customFormat="1">
      <c r="C4" s="179"/>
      <c r="D4" s="179"/>
      <c r="E4" s="179"/>
      <c r="F4" s="179"/>
      <c r="G4" s="179"/>
      <c r="H4" s="179"/>
      <c r="I4" s="62" t="s">
        <v>409</v>
      </c>
      <c r="J4" s="179"/>
      <c r="K4" s="179"/>
      <c r="L4" s="179"/>
      <c r="M4" s="179"/>
      <c r="N4" s="179"/>
      <c r="O4" s="179"/>
      <c r="P4" s="179"/>
      <c r="Q4" s="179"/>
      <c r="R4" s="179"/>
      <c r="S4" s="179"/>
    </row>
    <row r="6" spans="2:20">
      <c r="T6" s="5" t="s">
        <v>56</v>
      </c>
    </row>
    <row r="7" spans="2:20" s="85" customFormat="1" ht="15" customHeight="1">
      <c r="B7" s="956" t="s">
        <v>2</v>
      </c>
      <c r="C7" s="959" t="s">
        <v>57</v>
      </c>
      <c r="D7" s="963" t="s">
        <v>58</v>
      </c>
      <c r="E7" s="964"/>
      <c r="F7" s="965"/>
      <c r="G7" s="963" t="s">
        <v>59</v>
      </c>
      <c r="H7" s="964"/>
      <c r="I7" s="965"/>
      <c r="J7" s="963" t="s">
        <v>60</v>
      </c>
      <c r="K7" s="964"/>
      <c r="L7" s="964"/>
      <c r="M7" s="964"/>
      <c r="N7" s="965"/>
      <c r="O7" s="954" t="s">
        <v>61</v>
      </c>
      <c r="P7" s="954"/>
      <c r="Q7" s="954"/>
      <c r="R7" s="954"/>
      <c r="S7" s="954"/>
      <c r="T7" s="954" t="s">
        <v>62</v>
      </c>
    </row>
    <row r="8" spans="2:20" s="85" customFormat="1" ht="41.25" customHeight="1">
      <c r="B8" s="957"/>
      <c r="C8" s="959"/>
      <c r="D8" s="198" t="s">
        <v>63</v>
      </c>
      <c r="E8" s="198" t="s">
        <v>64</v>
      </c>
      <c r="F8" s="198" t="s">
        <v>65</v>
      </c>
      <c r="G8" s="198" t="s">
        <v>63</v>
      </c>
      <c r="H8" s="198" t="s">
        <v>64</v>
      </c>
      <c r="I8" s="198" t="s">
        <v>65</v>
      </c>
      <c r="J8" s="198" t="s">
        <v>63</v>
      </c>
      <c r="K8" s="198" t="s">
        <v>66</v>
      </c>
      <c r="L8" s="198" t="s">
        <v>67</v>
      </c>
      <c r="M8" s="198" t="s">
        <v>68</v>
      </c>
      <c r="N8" s="198" t="s">
        <v>69</v>
      </c>
      <c r="O8" s="198" t="s">
        <v>70</v>
      </c>
      <c r="P8" s="198" t="s">
        <v>71</v>
      </c>
      <c r="Q8" s="198" t="s">
        <v>72</v>
      </c>
      <c r="R8" s="198" t="s">
        <v>73</v>
      </c>
      <c r="S8" s="198" t="s">
        <v>74</v>
      </c>
      <c r="T8" s="954"/>
    </row>
    <row r="9" spans="2:20" s="85" customFormat="1" ht="28.5" customHeight="1">
      <c r="B9" s="958"/>
      <c r="C9" s="960"/>
      <c r="D9" s="198" t="s">
        <v>75</v>
      </c>
      <c r="E9" s="198" t="s">
        <v>76</v>
      </c>
      <c r="F9" s="198" t="s">
        <v>77</v>
      </c>
      <c r="G9" s="198" t="s">
        <v>78</v>
      </c>
      <c r="H9" s="198" t="s">
        <v>79</v>
      </c>
      <c r="I9" s="198" t="s">
        <v>80</v>
      </c>
      <c r="J9" s="198" t="s">
        <v>81</v>
      </c>
      <c r="K9" s="198" t="s">
        <v>82</v>
      </c>
      <c r="L9" s="198" t="s">
        <v>83</v>
      </c>
      <c r="M9" s="198" t="s">
        <v>84</v>
      </c>
      <c r="N9" s="198" t="s">
        <v>85</v>
      </c>
      <c r="O9" s="198" t="s">
        <v>86</v>
      </c>
      <c r="P9" s="198" t="s">
        <v>86</v>
      </c>
      <c r="Q9" s="198" t="s">
        <v>86</v>
      </c>
      <c r="R9" s="198" t="s">
        <v>86</v>
      </c>
      <c r="S9" s="198" t="s">
        <v>86</v>
      </c>
      <c r="T9" s="955"/>
    </row>
    <row r="10" spans="2:20">
      <c r="B10" s="83">
        <v>1</v>
      </c>
      <c r="C10" s="54" t="s">
        <v>410</v>
      </c>
      <c r="D10" s="429">
        <f>'F1 '!E14</f>
        <v>651.52</v>
      </c>
      <c r="E10" s="428">
        <f>F2.3!J18/10^5</f>
        <v>829.15065000000004</v>
      </c>
      <c r="F10" s="429">
        <f>E10-D10</f>
        <v>177.63065000000006</v>
      </c>
      <c r="G10" s="421">
        <f>'F1 '!H14</f>
        <v>684.1</v>
      </c>
      <c r="H10" s="421">
        <f>F2.3!K18/10^5</f>
        <v>1129.32231</v>
      </c>
      <c r="I10" s="429">
        <f>H10-G10</f>
        <v>445.22230999999999</v>
      </c>
      <c r="J10" s="421">
        <f>'F1 '!K14</f>
        <v>718.3</v>
      </c>
      <c r="K10" s="421">
        <f>F2.3!L18/10^5</f>
        <v>180.19229000000001</v>
      </c>
      <c r="L10" s="4"/>
      <c r="M10" s="4">
        <f>M26</f>
        <v>866.04</v>
      </c>
      <c r="N10" s="421">
        <f>M10-J10</f>
        <v>147.74</v>
      </c>
      <c r="O10" s="421">
        <f>M26*1.05</f>
        <v>909.34199999999998</v>
      </c>
      <c r="P10" s="421">
        <f>O10*1.05</f>
        <v>954.80910000000006</v>
      </c>
      <c r="Q10" s="421">
        <f t="shared" ref="Q10:S10" si="0">P10*1.05</f>
        <v>1002.5495550000001</v>
      </c>
      <c r="R10" s="421">
        <f t="shared" si="0"/>
        <v>1052.6770327500001</v>
      </c>
      <c r="S10" s="421">
        <f t="shared" si="0"/>
        <v>1105.3108843875002</v>
      </c>
      <c r="T10" s="4"/>
    </row>
    <row r="11" spans="2:20">
      <c r="B11" s="51"/>
      <c r="C11" s="52" t="s">
        <v>411</v>
      </c>
      <c r="D11" s="52"/>
      <c r="E11" s="52"/>
      <c r="F11" s="52"/>
      <c r="G11" s="4"/>
      <c r="H11" s="4"/>
      <c r="I11" s="4"/>
      <c r="J11" s="4"/>
      <c r="K11" s="4"/>
      <c r="L11" s="4"/>
      <c r="M11" s="4"/>
      <c r="N11" s="4"/>
      <c r="O11" s="4"/>
      <c r="P11" s="4"/>
      <c r="Q11" s="4"/>
      <c r="R11" s="4"/>
      <c r="S11" s="4"/>
      <c r="T11" s="4"/>
    </row>
    <row r="12" spans="2:20">
      <c r="B12" s="53"/>
      <c r="C12" s="52" t="s">
        <v>412</v>
      </c>
      <c r="D12" s="52"/>
      <c r="E12" s="52"/>
      <c r="F12" s="52"/>
      <c r="G12" s="4"/>
      <c r="H12" s="4"/>
      <c r="I12" s="4"/>
      <c r="J12" s="4"/>
      <c r="K12" s="4"/>
      <c r="L12" s="4"/>
      <c r="M12" s="4"/>
      <c r="N12" s="4"/>
      <c r="O12" s="4"/>
      <c r="P12" s="4"/>
      <c r="Q12" s="4"/>
      <c r="R12" s="4"/>
      <c r="S12" s="4"/>
      <c r="T12" s="4"/>
    </row>
    <row r="13" spans="2:20">
      <c r="B13" s="53"/>
      <c r="C13" s="52" t="s">
        <v>413</v>
      </c>
      <c r="D13" s="52"/>
      <c r="E13" s="52"/>
      <c r="F13" s="52"/>
      <c r="G13" s="4"/>
      <c r="H13" s="4"/>
      <c r="I13" s="4"/>
      <c r="J13" s="4"/>
      <c r="K13" s="4"/>
      <c r="L13" s="4"/>
      <c r="M13" s="4"/>
      <c r="N13" s="4"/>
      <c r="O13" s="4"/>
      <c r="P13" s="4"/>
      <c r="Q13" s="4"/>
      <c r="R13" s="4"/>
      <c r="S13" s="4"/>
      <c r="T13" s="4"/>
    </row>
    <row r="14" spans="2:20">
      <c r="B14" s="53"/>
      <c r="C14" s="52"/>
      <c r="D14" s="52"/>
      <c r="E14" s="52"/>
      <c r="F14" s="52"/>
      <c r="G14" s="4"/>
      <c r="H14" s="4"/>
      <c r="I14" s="4"/>
      <c r="J14" s="4"/>
      <c r="K14" s="4"/>
      <c r="L14" s="4"/>
      <c r="M14" s="4"/>
      <c r="N14" s="4"/>
      <c r="O14" s="4"/>
      <c r="P14" s="4"/>
      <c r="Q14" s="4"/>
      <c r="R14" s="4"/>
      <c r="S14" s="4"/>
      <c r="T14" s="4"/>
    </row>
    <row r="15" spans="2:20">
      <c r="B15" s="53"/>
      <c r="C15" s="52"/>
      <c r="D15" s="52"/>
      <c r="E15" s="52"/>
      <c r="F15" s="52"/>
      <c r="G15" s="4"/>
      <c r="H15" s="4"/>
      <c r="I15" s="4"/>
      <c r="J15" s="4"/>
      <c r="K15" s="4"/>
      <c r="L15" s="4"/>
      <c r="M15" s="4"/>
      <c r="N15" s="4"/>
      <c r="O15" s="4"/>
      <c r="P15" s="4"/>
      <c r="Q15" s="4"/>
      <c r="R15" s="4"/>
      <c r="S15" s="4"/>
      <c r="T15" s="4"/>
    </row>
    <row r="16" spans="2:20">
      <c r="B16" s="83">
        <v>2</v>
      </c>
      <c r="C16" s="54" t="s">
        <v>414</v>
      </c>
      <c r="D16" s="54"/>
      <c r="E16" s="54"/>
      <c r="F16" s="54"/>
      <c r="G16" s="4"/>
      <c r="H16" s="4"/>
      <c r="I16" s="4"/>
      <c r="J16" s="4"/>
      <c r="K16" s="4"/>
      <c r="L16" s="4"/>
      <c r="M16" s="4"/>
      <c r="N16" s="4"/>
      <c r="O16" s="4"/>
      <c r="P16" s="4"/>
      <c r="Q16" s="4"/>
      <c r="R16" s="4"/>
      <c r="S16" s="4"/>
      <c r="T16" s="4"/>
    </row>
    <row r="17" spans="2:20">
      <c r="B17" s="53"/>
      <c r="C17" s="52" t="s">
        <v>411</v>
      </c>
      <c r="D17" s="52"/>
      <c r="E17" s="52"/>
      <c r="F17" s="52"/>
      <c r="G17" s="4"/>
      <c r="H17" s="4"/>
      <c r="I17" s="4"/>
      <c r="J17" s="4"/>
      <c r="K17" s="4"/>
      <c r="L17" s="4"/>
      <c r="M17" s="4"/>
      <c r="N17" s="4"/>
      <c r="O17" s="4"/>
      <c r="P17" s="4"/>
      <c r="Q17" s="4"/>
      <c r="R17" s="4"/>
      <c r="S17" s="4"/>
      <c r="T17" s="4"/>
    </row>
    <row r="18" spans="2:20">
      <c r="B18" s="53"/>
      <c r="C18" s="52" t="s">
        <v>412</v>
      </c>
      <c r="D18" s="52"/>
      <c r="E18" s="52"/>
      <c r="F18" s="52"/>
      <c r="G18" s="4"/>
      <c r="H18" s="4"/>
      <c r="I18" s="4"/>
      <c r="J18" s="4"/>
      <c r="K18" s="4"/>
      <c r="L18" s="4"/>
      <c r="M18" s="4"/>
      <c r="N18" s="4"/>
      <c r="O18" s="4"/>
      <c r="P18" s="4"/>
      <c r="Q18" s="4"/>
      <c r="R18" s="4"/>
      <c r="S18" s="4"/>
      <c r="T18" s="4"/>
    </row>
    <row r="19" spans="2:20">
      <c r="B19" s="53"/>
      <c r="C19" s="52" t="s">
        <v>413</v>
      </c>
      <c r="D19" s="52"/>
      <c r="E19" s="52"/>
      <c r="F19" s="52"/>
      <c r="G19" s="4"/>
      <c r="H19" s="4"/>
      <c r="I19" s="4"/>
      <c r="J19" s="4"/>
      <c r="K19" s="4"/>
      <c r="L19" s="4"/>
      <c r="M19" s="4"/>
      <c r="N19" s="4"/>
      <c r="O19" s="4"/>
      <c r="P19" s="4"/>
      <c r="Q19" s="4"/>
      <c r="R19" s="4"/>
      <c r="S19" s="4"/>
      <c r="T19" s="4"/>
    </row>
    <row r="20" spans="2:20">
      <c r="B20" s="53"/>
      <c r="C20" s="52"/>
      <c r="D20" s="52"/>
      <c r="E20" s="52"/>
      <c r="F20" s="52"/>
      <c r="G20" s="4"/>
      <c r="H20" s="4"/>
      <c r="I20" s="4"/>
      <c r="J20" s="4"/>
      <c r="K20" s="4"/>
      <c r="L20" s="4"/>
      <c r="M20" s="4"/>
      <c r="N20" s="4"/>
      <c r="O20" s="4"/>
      <c r="P20" s="4"/>
      <c r="Q20" s="4"/>
      <c r="R20" s="4"/>
      <c r="S20" s="4"/>
      <c r="T20" s="4"/>
    </row>
    <row r="22" spans="2:20">
      <c r="B22" s="1036" t="s">
        <v>394</v>
      </c>
      <c r="C22" s="1036"/>
      <c r="D22" s="1036"/>
      <c r="E22" s="1036"/>
      <c r="F22" s="1036"/>
    </row>
    <row r="23" spans="2:20">
      <c r="B23" s="1036"/>
      <c r="C23" s="1036"/>
      <c r="D23" s="1036"/>
      <c r="E23" s="1036"/>
      <c r="F23" s="1036"/>
    </row>
    <row r="26" spans="2:20">
      <c r="H26" s="458">
        <f>H10-324</f>
        <v>805.32231000000002</v>
      </c>
      <c r="M26" s="3">
        <f>(12*62.17)+120</f>
        <v>866.04</v>
      </c>
    </row>
    <row r="31" spans="2:20">
      <c r="F31" s="459"/>
    </row>
    <row r="32" spans="2:20">
      <c r="F32" s="459"/>
    </row>
    <row r="33" spans="4:6">
      <c r="D33" s="458"/>
      <c r="F33" s="459"/>
    </row>
    <row r="34" spans="4:6">
      <c r="D34" s="459"/>
    </row>
  </sheetData>
  <mergeCells count="9">
    <mergeCell ref="B22:F22"/>
    <mergeCell ref="B23:F23"/>
    <mergeCell ref="O7:S7"/>
    <mergeCell ref="T7:T9"/>
    <mergeCell ref="B7:B9"/>
    <mergeCell ref="C7:C9"/>
    <mergeCell ref="G7:I7"/>
    <mergeCell ref="J7:N7"/>
    <mergeCell ref="D7:F7"/>
  </mergeCells>
  <pageMargins left="0.52" right="0.48" top="1" bottom="1" header="0.5" footer="0.5"/>
  <pageSetup paperSize="9" scale="39" orientation="landscape" r:id="rId1"/>
  <headerFooter alignWithMargins="0">
    <oddHeader>&amp;L&amp;"Arial,Italic"Draft- Dated 2 August 2004</oddHeader>
  </headerFooter>
</worksheet>
</file>

<file path=xl/worksheets/sheet21.xml><?xml version="1.0" encoding="utf-8"?>
<worksheet xmlns="http://schemas.openxmlformats.org/spreadsheetml/2006/main" xmlns:r="http://schemas.openxmlformats.org/officeDocument/2006/relationships">
  <sheetPr>
    <pageSetUpPr fitToPage="1"/>
  </sheetPr>
  <dimension ref="B1:L32"/>
  <sheetViews>
    <sheetView showGridLines="0" view="pageBreakPreview" topLeftCell="A32" zoomScale="80" zoomScaleNormal="75" zoomScaleSheetLayoutView="80" workbookViewId="0">
      <selection activeCell="T31" sqref="T31"/>
    </sheetView>
  </sheetViews>
  <sheetFormatPr defaultColWidth="9.28515625" defaultRowHeight="15"/>
  <cols>
    <col min="1" max="1" width="6.7109375" style="115" customWidth="1"/>
    <col min="2" max="2" width="6.42578125" style="347" customWidth="1"/>
    <col min="3" max="3" width="49" style="115" customWidth="1"/>
    <col min="4" max="5" width="14.28515625" style="115" customWidth="1"/>
    <col min="6" max="7" width="12.7109375" style="115" customWidth="1"/>
    <col min="8" max="20" width="13.7109375" style="115" customWidth="1"/>
    <col min="21" max="16384" width="9.28515625" style="115"/>
  </cols>
  <sheetData>
    <row r="1" spans="2:7">
      <c r="C1" s="348"/>
      <c r="D1" s="348"/>
      <c r="E1" s="348"/>
    </row>
    <row r="2" spans="2:7">
      <c r="C2" s="348"/>
      <c r="D2" s="348"/>
      <c r="E2" s="348"/>
      <c r="F2" s="349" t="s">
        <v>415</v>
      </c>
      <c r="G2" s="349"/>
    </row>
    <row r="3" spans="2:7">
      <c r="C3" s="348"/>
      <c r="D3" s="348"/>
      <c r="E3" s="348"/>
      <c r="F3" s="318" t="s">
        <v>1</v>
      </c>
      <c r="G3" s="318"/>
    </row>
    <row r="4" spans="2:7">
      <c r="C4" s="348"/>
      <c r="D4" s="348"/>
      <c r="E4" s="348"/>
      <c r="F4" s="227" t="s">
        <v>416</v>
      </c>
      <c r="G4" s="227"/>
    </row>
    <row r="6" spans="2:7" ht="28.5">
      <c r="B6" s="198" t="s">
        <v>2</v>
      </c>
      <c r="C6" s="198" t="s">
        <v>57</v>
      </c>
      <c r="D6" s="199" t="s">
        <v>417</v>
      </c>
      <c r="E6" s="199" t="s">
        <v>58</v>
      </c>
      <c r="F6" s="199" t="s">
        <v>59</v>
      </c>
      <c r="G6" s="198" t="s">
        <v>418</v>
      </c>
    </row>
    <row r="7" spans="2:7">
      <c r="B7" s="220">
        <v>1</v>
      </c>
      <c r="C7" s="350" t="s">
        <v>419</v>
      </c>
      <c r="D7" s="351" t="s">
        <v>75</v>
      </c>
      <c r="E7" s="166"/>
      <c r="F7" s="166"/>
      <c r="G7" s="166"/>
    </row>
    <row r="8" spans="2:7">
      <c r="B8" s="220">
        <f>B7+1</f>
        <v>2</v>
      </c>
      <c r="C8" s="350" t="s">
        <v>420</v>
      </c>
      <c r="D8" s="351" t="s">
        <v>76</v>
      </c>
      <c r="E8" s="166"/>
      <c r="F8" s="166"/>
      <c r="G8" s="166"/>
    </row>
    <row r="9" spans="2:7">
      <c r="B9" s="220">
        <f>B8+1</f>
        <v>3</v>
      </c>
      <c r="C9" s="350" t="s">
        <v>421</v>
      </c>
      <c r="D9" s="351" t="s">
        <v>422</v>
      </c>
      <c r="E9" s="166"/>
      <c r="F9" s="166"/>
      <c r="G9" s="166"/>
    </row>
    <row r="10" spans="2:7">
      <c r="B10" s="220"/>
      <c r="C10" s="352"/>
      <c r="D10" s="352"/>
      <c r="E10" s="166"/>
      <c r="F10" s="166"/>
      <c r="G10" s="166"/>
    </row>
    <row r="11" spans="2:7">
      <c r="B11" s="220">
        <v>4</v>
      </c>
      <c r="C11" s="350" t="s">
        <v>423</v>
      </c>
      <c r="D11" s="351" t="s">
        <v>78</v>
      </c>
      <c r="E11" s="166"/>
      <c r="F11" s="166"/>
      <c r="G11" s="166"/>
    </row>
    <row r="12" spans="2:7">
      <c r="B12" s="220">
        <v>5</v>
      </c>
      <c r="C12" s="350" t="s">
        <v>424</v>
      </c>
      <c r="D12" s="351" t="s">
        <v>425</v>
      </c>
      <c r="E12" s="166"/>
      <c r="F12" s="166"/>
      <c r="G12" s="166"/>
    </row>
    <row r="13" spans="2:7">
      <c r="B13" s="220">
        <v>6</v>
      </c>
      <c r="C13" s="350" t="s">
        <v>426</v>
      </c>
      <c r="D13" s="351" t="s">
        <v>427</v>
      </c>
      <c r="E13" s="166"/>
      <c r="F13" s="166"/>
      <c r="G13" s="166"/>
    </row>
    <row r="14" spans="2:7">
      <c r="B14" s="220">
        <v>7</v>
      </c>
      <c r="C14" s="352" t="s">
        <v>428</v>
      </c>
      <c r="D14" s="353" t="s">
        <v>429</v>
      </c>
      <c r="E14" s="166"/>
      <c r="F14" s="166"/>
      <c r="G14" s="166"/>
    </row>
    <row r="15" spans="2:7">
      <c r="C15" s="354"/>
      <c r="D15" s="355"/>
    </row>
    <row r="16" spans="2:7">
      <c r="C16" s="115" t="s">
        <v>430</v>
      </c>
    </row>
    <row r="17" spans="2:12">
      <c r="C17" s="1037" t="s">
        <v>431</v>
      </c>
      <c r="D17" s="1037"/>
      <c r="E17" s="1037"/>
      <c r="F17" s="1037"/>
      <c r="G17" s="1037"/>
      <c r="H17" s="1037"/>
      <c r="I17" s="1037"/>
    </row>
    <row r="18" spans="2:12">
      <c r="C18" s="115" t="s">
        <v>432</v>
      </c>
    </row>
    <row r="19" spans="2:12">
      <c r="C19" s="115" t="s">
        <v>433</v>
      </c>
    </row>
    <row r="21" spans="2:12">
      <c r="C21" s="356"/>
      <c r="D21" s="356"/>
      <c r="E21" s="356"/>
      <c r="F21" s="298"/>
      <c r="G21" s="298"/>
      <c r="H21" s="298"/>
      <c r="I21" s="298"/>
      <c r="J21" s="298"/>
      <c r="K21" s="298"/>
      <c r="L21" s="298"/>
    </row>
    <row r="23" spans="2:12" ht="14.1" customHeight="1">
      <c r="B23" s="1038" t="s">
        <v>434</v>
      </c>
      <c r="C23" s="1038"/>
      <c r="D23" s="1038"/>
      <c r="E23" s="1038"/>
      <c r="F23" s="1038"/>
      <c r="G23" s="1038"/>
      <c r="H23" s="1038"/>
      <c r="I23" s="1038"/>
      <c r="J23" s="219"/>
      <c r="K23" s="219"/>
    </row>
    <row r="24" spans="2:12">
      <c r="B24" s="115"/>
    </row>
    <row r="25" spans="2:12" ht="28.5">
      <c r="B25" s="198" t="s">
        <v>2</v>
      </c>
      <c r="C25" s="198" t="s">
        <v>57</v>
      </c>
      <c r="D25" s="199" t="s">
        <v>417</v>
      </c>
      <c r="E25" s="199" t="s">
        <v>70</v>
      </c>
      <c r="F25" s="199" t="s">
        <v>71</v>
      </c>
      <c r="G25" s="198" t="s">
        <v>72</v>
      </c>
      <c r="H25" s="198" t="s">
        <v>73</v>
      </c>
      <c r="I25" s="198" t="s">
        <v>74</v>
      </c>
    </row>
    <row r="26" spans="2:12">
      <c r="B26" s="220">
        <v>1</v>
      </c>
      <c r="C26" s="357" t="s">
        <v>435</v>
      </c>
      <c r="D26" s="358" t="s">
        <v>75</v>
      </c>
      <c r="E26" s="357"/>
      <c r="F26" s="359"/>
      <c r="G26" s="359"/>
      <c r="H26" s="357"/>
      <c r="I26" s="359"/>
    </row>
    <row r="27" spans="2:12">
      <c r="B27" s="220"/>
      <c r="C27" s="360"/>
      <c r="D27" s="360"/>
      <c r="E27" s="357"/>
      <c r="F27" s="359"/>
      <c r="G27" s="359"/>
      <c r="H27" s="357"/>
      <c r="I27" s="359"/>
    </row>
    <row r="28" spans="2:12">
      <c r="B28" s="220">
        <v>2</v>
      </c>
      <c r="C28" s="357" t="s">
        <v>436</v>
      </c>
      <c r="D28" s="358" t="s">
        <v>76</v>
      </c>
      <c r="E28" s="357"/>
      <c r="F28" s="359"/>
      <c r="G28" s="359"/>
      <c r="H28" s="357"/>
      <c r="I28" s="359"/>
    </row>
    <row r="29" spans="2:12">
      <c r="B29" s="220">
        <v>3</v>
      </c>
      <c r="C29" s="360" t="s">
        <v>428</v>
      </c>
      <c r="D29" s="361" t="s">
        <v>437</v>
      </c>
      <c r="E29" s="360"/>
      <c r="F29" s="362"/>
      <c r="G29" s="362"/>
      <c r="H29" s="360"/>
      <c r="I29" s="362"/>
    </row>
    <row r="30" spans="2:12">
      <c r="B30" s="115"/>
    </row>
    <row r="31" spans="2:12">
      <c r="B31" s="115"/>
      <c r="C31" s="1039" t="s">
        <v>438</v>
      </c>
      <c r="D31" s="1037"/>
      <c r="E31" s="1037"/>
      <c r="F31" s="1037"/>
      <c r="G31" s="1037"/>
      <c r="H31" s="1037"/>
      <c r="I31" s="1037"/>
      <c r="J31" s="1037"/>
      <c r="K31" s="1037"/>
    </row>
    <row r="32" spans="2:12">
      <c r="B32" s="115"/>
      <c r="C32" s="115" t="s">
        <v>439</v>
      </c>
    </row>
  </sheetData>
  <mergeCells count="3">
    <mergeCell ref="C17:I17"/>
    <mergeCell ref="B23:I23"/>
    <mergeCell ref="C31:K31"/>
  </mergeCells>
  <pageMargins left="1.1200000000000001" right="0.27" top="1.24" bottom="1" header="0.5" footer="0.5"/>
  <pageSetup paperSize="9" scale="48" orientation="landscape" r:id="rId1"/>
  <headerFooter alignWithMargins="0"/>
</worksheet>
</file>

<file path=xl/worksheets/sheet22.xml><?xml version="1.0" encoding="utf-8"?>
<worksheet xmlns="http://schemas.openxmlformats.org/spreadsheetml/2006/main" xmlns:r="http://schemas.openxmlformats.org/officeDocument/2006/relationships">
  <sheetPr codeName="Sheet7"/>
  <dimension ref="A2:M70"/>
  <sheetViews>
    <sheetView showGridLines="0" view="pageBreakPreview" topLeftCell="A47" zoomScale="71" zoomScaleNormal="75" zoomScaleSheetLayoutView="110" workbookViewId="0">
      <selection activeCell="D43" sqref="D43:H43"/>
    </sheetView>
  </sheetViews>
  <sheetFormatPr defaultColWidth="9.28515625" defaultRowHeight="15"/>
  <cols>
    <col min="1" max="1" width="6.28515625" style="3" customWidth="1"/>
    <col min="2" max="2" width="8.28515625" style="3" customWidth="1"/>
    <col min="3" max="3" width="57.28515625" style="3" bestFit="1" customWidth="1"/>
    <col min="4" max="6" width="17.42578125" style="3" customWidth="1"/>
    <col min="7" max="7" width="16.7109375" style="3" customWidth="1"/>
    <col min="8" max="10" width="16.42578125" style="3" customWidth="1"/>
    <col min="11" max="12" width="15.7109375" style="3" customWidth="1"/>
    <col min="13" max="13" width="9.28515625" style="3"/>
    <col min="14" max="14" width="36.42578125" style="3" bestFit="1" customWidth="1"/>
    <col min="15" max="16384" width="9.28515625" style="3"/>
  </cols>
  <sheetData>
    <row r="2" spans="2:12">
      <c r="I2" s="81" t="s">
        <v>0</v>
      </c>
    </row>
    <row r="3" spans="2:12">
      <c r="I3" s="88" t="s">
        <v>1</v>
      </c>
    </row>
    <row r="4" spans="2:12">
      <c r="B4" s="180"/>
      <c r="C4" s="16"/>
      <c r="D4" s="16"/>
      <c r="E4" s="16"/>
      <c r="F4" s="16"/>
      <c r="G4" s="16"/>
      <c r="H4" s="16"/>
      <c r="I4" s="181" t="s">
        <v>440</v>
      </c>
      <c r="J4" s="16"/>
      <c r="K4" s="16"/>
      <c r="L4" s="16"/>
    </row>
    <row r="5" spans="2:12">
      <c r="L5" s="16" t="s">
        <v>56</v>
      </c>
    </row>
    <row r="6" spans="2:12" s="17" customFormat="1" ht="27" customHeight="1">
      <c r="B6" s="959" t="s">
        <v>365</v>
      </c>
      <c r="C6" s="959" t="s">
        <v>57</v>
      </c>
      <c r="D6" s="963" t="s">
        <v>58</v>
      </c>
      <c r="E6" s="964"/>
      <c r="F6" s="965"/>
      <c r="G6" s="963" t="s">
        <v>59</v>
      </c>
      <c r="H6" s="964"/>
      <c r="I6" s="965"/>
      <c r="J6" s="963" t="s">
        <v>60</v>
      </c>
      <c r="K6" s="964"/>
      <c r="L6" s="965"/>
    </row>
    <row r="7" spans="2:12" s="17" customFormat="1" ht="44.1" customHeight="1">
      <c r="B7" s="959"/>
      <c r="C7" s="959"/>
      <c r="D7" s="198" t="s">
        <v>63</v>
      </c>
      <c r="E7" s="198" t="s">
        <v>64</v>
      </c>
      <c r="F7" s="198" t="s">
        <v>65</v>
      </c>
      <c r="G7" s="198" t="s">
        <v>63</v>
      </c>
      <c r="H7" s="198" t="s">
        <v>64</v>
      </c>
      <c r="I7" s="198" t="s">
        <v>65</v>
      </c>
      <c r="J7" s="198" t="s">
        <v>63</v>
      </c>
      <c r="K7" s="198" t="s">
        <v>295</v>
      </c>
      <c r="L7" s="198" t="s">
        <v>69</v>
      </c>
    </row>
    <row r="8" spans="2:12" s="17" customFormat="1" ht="27" customHeight="1">
      <c r="B8" s="150"/>
      <c r="C8" s="150"/>
      <c r="D8" s="198" t="s">
        <v>75</v>
      </c>
      <c r="E8" s="198" t="s">
        <v>76</v>
      </c>
      <c r="F8" s="198" t="s">
        <v>77</v>
      </c>
      <c r="G8" s="198" t="s">
        <v>78</v>
      </c>
      <c r="H8" s="198" t="s">
        <v>79</v>
      </c>
      <c r="I8" s="198" t="s">
        <v>80</v>
      </c>
      <c r="J8" s="198" t="s">
        <v>81</v>
      </c>
      <c r="K8" s="198" t="s">
        <v>82</v>
      </c>
      <c r="L8" s="198" t="s">
        <v>368</v>
      </c>
    </row>
    <row r="9" spans="2:12" s="17" customFormat="1">
      <c r="B9" s="33">
        <v>1</v>
      </c>
      <c r="C9" s="58" t="s">
        <v>441</v>
      </c>
      <c r="D9" s="166">
        <v>1267.45</v>
      </c>
      <c r="E9" s="166">
        <v>1267.45</v>
      </c>
      <c r="F9" s="58"/>
      <c r="G9" s="24">
        <v>1267.45</v>
      </c>
      <c r="H9" s="24">
        <f>E14</f>
        <v>1267.45</v>
      </c>
      <c r="I9" s="24"/>
      <c r="J9" s="24">
        <f>G14</f>
        <v>1267.45</v>
      </c>
      <c r="K9" s="24">
        <f>H14</f>
        <v>1267.45</v>
      </c>
      <c r="L9" s="24"/>
    </row>
    <row r="10" spans="2:12" s="17" customFormat="1">
      <c r="B10" s="97">
        <f>B9+1</f>
        <v>2</v>
      </c>
      <c r="C10" s="58" t="s">
        <v>442</v>
      </c>
      <c r="D10" s="166"/>
      <c r="E10" s="166"/>
      <c r="F10" s="58"/>
      <c r="G10" s="24"/>
      <c r="H10" s="24"/>
      <c r="I10" s="24"/>
      <c r="J10" s="24"/>
      <c r="K10" s="24"/>
      <c r="L10" s="24"/>
    </row>
    <row r="11" spans="2:12" s="17" customFormat="1" ht="30">
      <c r="B11" s="97">
        <f t="shared" ref="B11:B19" si="0">B10+1</f>
        <v>3</v>
      </c>
      <c r="C11" s="58" t="s">
        <v>443</v>
      </c>
      <c r="F11" s="58"/>
      <c r="G11" s="24"/>
      <c r="H11" s="24"/>
      <c r="I11" s="24"/>
      <c r="J11" s="24"/>
      <c r="K11" s="24"/>
      <c r="L11" s="24"/>
    </row>
    <row r="12" spans="2:12" s="17" customFormat="1">
      <c r="B12" s="97">
        <f t="shared" si="0"/>
        <v>4</v>
      </c>
      <c r="C12" s="58" t="s">
        <v>444</v>
      </c>
      <c r="D12" s="166">
        <f>0.3*(D10-D11)</f>
        <v>0</v>
      </c>
      <c r="E12" s="166">
        <f>0.3*(E10-E11)</f>
        <v>0</v>
      </c>
      <c r="F12" s="58"/>
      <c r="G12" s="24"/>
      <c r="H12" s="166">
        <f>0.3*(H10-H11)</f>
        <v>0</v>
      </c>
      <c r="I12" s="24"/>
      <c r="J12" s="166">
        <f>0.3*(J10-J11)</f>
        <v>0</v>
      </c>
      <c r="K12" s="166">
        <f>0.3*(K10-K11)</f>
        <v>0</v>
      </c>
      <c r="L12" s="24"/>
    </row>
    <row r="13" spans="2:12" s="17" customFormat="1" ht="30">
      <c r="B13" s="97">
        <f t="shared" si="0"/>
        <v>5</v>
      </c>
      <c r="C13" s="59" t="s">
        <v>445</v>
      </c>
      <c r="D13" s="166"/>
      <c r="E13" s="166"/>
      <c r="F13" s="59"/>
      <c r="G13" s="24"/>
      <c r="H13" s="166"/>
      <c r="I13" s="24"/>
      <c r="J13" s="166"/>
      <c r="K13" s="166"/>
      <c r="L13" s="24"/>
    </row>
    <row r="14" spans="2:12" s="17" customFormat="1">
      <c r="B14" s="97">
        <f t="shared" si="0"/>
        <v>6</v>
      </c>
      <c r="C14" s="58" t="s">
        <v>446</v>
      </c>
      <c r="D14" s="166">
        <f>D9+D12-D13</f>
        <v>1267.45</v>
      </c>
      <c r="E14" s="166">
        <f>E9+E12-E13</f>
        <v>1267.45</v>
      </c>
      <c r="F14" s="58"/>
      <c r="G14" s="166">
        <f>G9+G12-G13</f>
        <v>1267.45</v>
      </c>
      <c r="H14" s="166">
        <f>H9+H12-H13</f>
        <v>1267.45</v>
      </c>
      <c r="I14" s="24"/>
      <c r="J14" s="166">
        <f>J9+J12-J13</f>
        <v>1267.45</v>
      </c>
      <c r="K14" s="166">
        <f>K9+K12-K13</f>
        <v>1267.45</v>
      </c>
      <c r="L14" s="24"/>
    </row>
    <row r="15" spans="2:12" s="17" customFormat="1">
      <c r="B15" s="97"/>
      <c r="C15" s="58"/>
      <c r="D15" s="166"/>
      <c r="E15" s="166"/>
      <c r="F15" s="58"/>
      <c r="G15" s="24"/>
      <c r="H15" s="166"/>
      <c r="I15" s="24"/>
      <c r="J15" s="166"/>
      <c r="K15" s="166"/>
      <c r="L15" s="24"/>
    </row>
    <row r="16" spans="2:12" s="17" customFormat="1">
      <c r="B16" s="97"/>
      <c r="C16" s="99" t="s">
        <v>447</v>
      </c>
      <c r="D16" s="487"/>
      <c r="E16" s="487"/>
      <c r="F16" s="99"/>
      <c r="G16" s="24"/>
      <c r="H16" s="487"/>
      <c r="I16" s="24"/>
      <c r="J16" s="487"/>
      <c r="K16" s="487"/>
      <c r="L16" s="24"/>
    </row>
    <row r="17" spans="1:13" s="17" customFormat="1">
      <c r="B17" s="97">
        <v>7</v>
      </c>
      <c r="C17" s="98" t="s">
        <v>448</v>
      </c>
      <c r="D17" s="489">
        <f>D9*0.14</f>
        <v>177.44300000000001</v>
      </c>
      <c r="E17" s="489">
        <f>E9*(0.14+1.08%)</f>
        <v>191.13146000000003</v>
      </c>
      <c r="F17" s="98"/>
      <c r="G17" s="24">
        <v>177.44</v>
      </c>
      <c r="H17" s="489">
        <f>H9*(0.14+1.09%)</f>
        <v>191.258205</v>
      </c>
      <c r="I17" s="24"/>
      <c r="J17" s="489">
        <f>J9*0.14</f>
        <v>177.44300000000001</v>
      </c>
      <c r="K17" s="489">
        <f>K9*0.14</f>
        <v>177.44300000000001</v>
      </c>
      <c r="L17" s="24"/>
    </row>
    <row r="18" spans="1:13" s="17" customFormat="1">
      <c r="B18" s="97">
        <f t="shared" si="0"/>
        <v>8</v>
      </c>
      <c r="C18" s="98" t="s">
        <v>449</v>
      </c>
      <c r="D18" s="489">
        <f>14%*((D14-D9)/2)</f>
        <v>0</v>
      </c>
      <c r="E18" s="489">
        <f>14%*((E14-E9)/2)</f>
        <v>0</v>
      </c>
      <c r="F18" s="98"/>
      <c r="G18" s="24"/>
      <c r="H18" s="489">
        <f>14%*((H14-H9)/2)</f>
        <v>0</v>
      </c>
      <c r="I18" s="24"/>
      <c r="J18" s="489">
        <f>14%*((J14-J9)/2)</f>
        <v>0</v>
      </c>
      <c r="K18" s="489">
        <f>14%*((K14-K9)/2)</f>
        <v>0</v>
      </c>
      <c r="L18" s="24"/>
    </row>
    <row r="19" spans="1:13" s="17" customFormat="1">
      <c r="B19" s="97">
        <f t="shared" si="0"/>
        <v>9</v>
      </c>
      <c r="C19" s="99" t="s">
        <v>450</v>
      </c>
      <c r="D19" s="489">
        <f>D17+D18</f>
        <v>177.44300000000001</v>
      </c>
      <c r="E19" s="489">
        <f>E17+E18</f>
        <v>191.13146000000003</v>
      </c>
      <c r="F19" s="562">
        <f>E19-D19</f>
        <v>13.688460000000021</v>
      </c>
      <c r="G19" s="24">
        <v>177.44</v>
      </c>
      <c r="H19" s="489">
        <f>H17+H18</f>
        <v>191.258205</v>
      </c>
      <c r="I19" s="562">
        <f>H19-G19</f>
        <v>13.818205000000006</v>
      </c>
      <c r="J19" s="489">
        <f>J17+J18</f>
        <v>177.44300000000001</v>
      </c>
      <c r="K19" s="489">
        <f>K17+K18</f>
        <v>177.44300000000001</v>
      </c>
      <c r="L19" s="562">
        <f>K19-J19</f>
        <v>0</v>
      </c>
    </row>
    <row r="20" spans="1:13">
      <c r="E20" s="489"/>
    </row>
    <row r="21" spans="1:13">
      <c r="B21" s="115" t="s">
        <v>451</v>
      </c>
    </row>
    <row r="25" spans="1:13">
      <c r="A25" s="115"/>
      <c r="B25" s="115"/>
      <c r="C25" s="115"/>
      <c r="D25" s="115"/>
      <c r="E25" s="115"/>
      <c r="F25" s="115"/>
      <c r="G25" s="115"/>
      <c r="H25" s="115"/>
      <c r="I25" s="115"/>
      <c r="J25" s="115"/>
      <c r="K25" s="115"/>
      <c r="L25" s="115"/>
      <c r="M25" s="115"/>
    </row>
    <row r="26" spans="1:13" ht="55.5" customHeight="1">
      <c r="A26" s="115"/>
      <c r="B26" s="1040" t="s">
        <v>452</v>
      </c>
      <c r="C26" s="1040"/>
      <c r="D26" s="1040"/>
      <c r="E26" s="1040"/>
      <c r="F26" s="1040"/>
      <c r="G26" s="1040"/>
      <c r="H26" s="1040"/>
      <c r="I26" s="1040"/>
      <c r="J26" s="1040"/>
      <c r="K26" s="1040"/>
      <c r="L26" s="1040"/>
      <c r="M26" s="1040"/>
    </row>
    <row r="27" spans="1:13">
      <c r="A27" s="115"/>
      <c r="B27" s="115"/>
      <c r="C27" s="115"/>
      <c r="D27" s="115"/>
      <c r="E27" s="115"/>
      <c r="F27" s="115"/>
      <c r="G27" s="115"/>
      <c r="H27" s="115"/>
      <c r="I27" s="115"/>
      <c r="J27" s="115"/>
      <c r="K27" s="115"/>
      <c r="L27" s="115"/>
      <c r="M27" s="115"/>
    </row>
    <row r="28" spans="1:13">
      <c r="A28" s="115"/>
      <c r="B28" s="115"/>
      <c r="C28" s="115"/>
      <c r="D28" s="115"/>
      <c r="E28" s="115"/>
      <c r="F28" s="115"/>
      <c r="G28" s="115"/>
      <c r="H28" s="115"/>
      <c r="I28" s="127" t="s">
        <v>56</v>
      </c>
      <c r="J28" s="115"/>
      <c r="K28" s="115"/>
      <c r="L28" s="115"/>
      <c r="M28" s="115"/>
    </row>
    <row r="29" spans="1:13">
      <c r="A29" s="115"/>
      <c r="B29" s="1005" t="s">
        <v>365</v>
      </c>
      <c r="C29" s="1005" t="s">
        <v>57</v>
      </c>
      <c r="D29" s="963" t="s">
        <v>367</v>
      </c>
      <c r="E29" s="964"/>
      <c r="F29" s="964"/>
      <c r="G29" s="964"/>
      <c r="H29" s="965"/>
      <c r="I29" s="1005" t="s">
        <v>62</v>
      </c>
      <c r="J29" s="115"/>
      <c r="K29" s="115"/>
      <c r="L29" s="115"/>
      <c r="M29" s="115"/>
    </row>
    <row r="30" spans="1:13">
      <c r="A30" s="115"/>
      <c r="B30" s="1006"/>
      <c r="C30" s="1006"/>
      <c r="D30" s="198" t="s">
        <v>70</v>
      </c>
      <c r="E30" s="198" t="s">
        <v>71</v>
      </c>
      <c r="F30" s="198" t="s">
        <v>72</v>
      </c>
      <c r="G30" s="198" t="s">
        <v>73</v>
      </c>
      <c r="H30" s="198" t="s">
        <v>74</v>
      </c>
      <c r="I30" s="1006"/>
      <c r="J30" s="115"/>
      <c r="K30" s="115"/>
      <c r="L30" s="115"/>
      <c r="M30" s="115"/>
    </row>
    <row r="31" spans="1:13">
      <c r="A31" s="115"/>
      <c r="B31" s="1035"/>
      <c r="C31" s="1035"/>
      <c r="D31" s="198" t="s">
        <v>86</v>
      </c>
      <c r="E31" s="198" t="s">
        <v>86</v>
      </c>
      <c r="F31" s="198" t="s">
        <v>86</v>
      </c>
      <c r="G31" s="198" t="s">
        <v>86</v>
      </c>
      <c r="H31" s="198" t="s">
        <v>86</v>
      </c>
      <c r="I31" s="1035"/>
      <c r="J31" s="115"/>
      <c r="K31" s="115"/>
      <c r="L31" s="115"/>
      <c r="M31" s="115"/>
    </row>
    <row r="32" spans="1:13">
      <c r="A32" s="115"/>
      <c r="B32" s="221">
        <v>1</v>
      </c>
      <c r="C32" s="222" t="s">
        <v>453</v>
      </c>
      <c r="D32" s="166">
        <f>F60</f>
        <v>1267.45</v>
      </c>
      <c r="E32" s="489">
        <f ca="1">D36</f>
        <v>1267.45</v>
      </c>
      <c r="F32" s="489">
        <f t="shared" ref="F32:H32" ca="1" si="1">E36</f>
        <v>4994.3665919415644</v>
      </c>
      <c r="G32" s="489">
        <f t="shared" ca="1" si="1"/>
        <v>7412.3665919415644</v>
      </c>
      <c r="H32" s="489">
        <f t="shared" ca="1" si="1"/>
        <v>9006.8665919415653</v>
      </c>
      <c r="I32" s="166"/>
      <c r="J32" s="115"/>
      <c r="K32" s="115"/>
      <c r="L32" s="115"/>
      <c r="M32" s="115"/>
    </row>
    <row r="33" spans="1:13">
      <c r="A33" s="115"/>
      <c r="B33" s="221">
        <f>B32+1</f>
        <v>2</v>
      </c>
      <c r="C33" s="222" t="s">
        <v>442</v>
      </c>
      <c r="D33" s="489">
        <f ca="1">'F17'!F21</f>
        <v>0</v>
      </c>
      <c r="E33" s="489">
        <f ca="1">'F17'!G21</f>
        <v>12423.055306471881</v>
      </c>
      <c r="F33" s="489">
        <f>'F17'!H21</f>
        <v>8060</v>
      </c>
      <c r="G33" s="489">
        <f>'F17'!I21</f>
        <v>5315</v>
      </c>
      <c r="H33" s="489">
        <f>'F17'!J21</f>
        <v>3822</v>
      </c>
      <c r="I33" s="166"/>
      <c r="J33" s="115"/>
      <c r="K33" s="115"/>
      <c r="L33" s="115"/>
      <c r="M33" s="115"/>
    </row>
    <row r="34" spans="1:13">
      <c r="A34" s="115"/>
      <c r="B34" s="221">
        <f t="shared" ref="B34:B43" si="2">B33+1</f>
        <v>3</v>
      </c>
      <c r="C34" s="222" t="s">
        <v>454</v>
      </c>
      <c r="D34" s="489">
        <f t="shared" ref="D34:H34" ca="1" si="3">0.3*D33</f>
        <v>0</v>
      </c>
      <c r="E34" s="489">
        <f t="shared" ca="1" si="3"/>
        <v>3726.9165919415641</v>
      </c>
      <c r="F34" s="489">
        <f t="shared" si="3"/>
        <v>2418</v>
      </c>
      <c r="G34" s="489">
        <f t="shared" si="3"/>
        <v>1594.5</v>
      </c>
      <c r="H34" s="489">
        <f t="shared" si="3"/>
        <v>1146.5999999999999</v>
      </c>
      <c r="I34" s="166"/>
      <c r="J34" s="115"/>
      <c r="K34" s="115"/>
      <c r="L34" s="115"/>
      <c r="M34" s="115"/>
    </row>
    <row r="35" spans="1:13" ht="30">
      <c r="A35" s="115"/>
      <c r="B35" s="223">
        <f t="shared" si="2"/>
        <v>4</v>
      </c>
      <c r="C35" s="224" t="s">
        <v>445</v>
      </c>
      <c r="D35" s="489"/>
      <c r="E35" s="489"/>
      <c r="F35" s="489"/>
      <c r="G35" s="489"/>
      <c r="H35" s="489"/>
      <c r="I35" s="166"/>
      <c r="J35" s="115"/>
      <c r="K35" s="115"/>
      <c r="L35" s="115"/>
      <c r="M35" s="115"/>
    </row>
    <row r="36" spans="1:13">
      <c r="A36" s="115"/>
      <c r="B36" s="221">
        <f t="shared" si="2"/>
        <v>5</v>
      </c>
      <c r="C36" s="222" t="s">
        <v>446</v>
      </c>
      <c r="D36" s="489">
        <f t="shared" ref="D36:H36" ca="1" si="4">D32+D34-D35</f>
        <v>1267.45</v>
      </c>
      <c r="E36" s="489">
        <f t="shared" ca="1" si="4"/>
        <v>4994.3665919415644</v>
      </c>
      <c r="F36" s="489">
        <f t="shared" ca="1" si="4"/>
        <v>7412.3665919415644</v>
      </c>
      <c r="G36" s="489">
        <f t="shared" ca="1" si="4"/>
        <v>9006.8665919415653</v>
      </c>
      <c r="H36" s="489">
        <f t="shared" ca="1" si="4"/>
        <v>10153.466591941566</v>
      </c>
      <c r="I36" s="166"/>
      <c r="J36" s="115"/>
      <c r="K36" s="115"/>
      <c r="L36" s="115"/>
      <c r="M36" s="115"/>
    </row>
    <row r="37" spans="1:13">
      <c r="A37" s="115"/>
      <c r="B37" s="221"/>
      <c r="C37" s="222"/>
      <c r="D37" s="489"/>
      <c r="E37" s="489"/>
      <c r="F37" s="489"/>
      <c r="G37" s="489"/>
      <c r="H37" s="489"/>
      <c r="I37" s="166"/>
      <c r="J37" s="115"/>
      <c r="K37" s="115"/>
      <c r="L37" s="115"/>
      <c r="M37" s="115"/>
    </row>
    <row r="38" spans="1:13">
      <c r="A38" s="115"/>
      <c r="B38" s="221"/>
      <c r="C38" s="225" t="s">
        <v>447</v>
      </c>
      <c r="D38" s="489"/>
      <c r="E38" s="489"/>
      <c r="F38" s="489"/>
      <c r="G38" s="489"/>
      <c r="H38" s="489"/>
      <c r="I38" s="166"/>
      <c r="J38" s="115"/>
      <c r="K38" s="115"/>
      <c r="L38" s="115"/>
      <c r="M38" s="115"/>
    </row>
    <row r="39" spans="1:13">
      <c r="A39" s="115"/>
      <c r="B39" s="221">
        <v>6</v>
      </c>
      <c r="C39" s="222" t="s">
        <v>455</v>
      </c>
      <c r="D39" s="487">
        <v>0.14000000000000001</v>
      </c>
      <c r="E39" s="487">
        <v>0.14000000000000001</v>
      </c>
      <c r="F39" s="487">
        <v>0.14000000000000001</v>
      </c>
      <c r="G39" s="487">
        <v>0.14000000000000001</v>
      </c>
      <c r="H39" s="487">
        <v>0.14000000000000001</v>
      </c>
      <c r="I39" s="166"/>
      <c r="J39" s="115"/>
      <c r="K39" s="115"/>
      <c r="L39" s="115"/>
      <c r="M39" s="115"/>
    </row>
    <row r="40" spans="1:13">
      <c r="A40" s="115"/>
      <c r="B40" s="221">
        <v>7</v>
      </c>
      <c r="C40" s="222" t="s">
        <v>456</v>
      </c>
      <c r="D40" s="488">
        <f t="shared" ref="D40:H40" si="5">D39/(1-0)</f>
        <v>0.14000000000000001</v>
      </c>
      <c r="E40" s="488">
        <f t="shared" si="5"/>
        <v>0.14000000000000001</v>
      </c>
      <c r="F40" s="488">
        <f t="shared" si="5"/>
        <v>0.14000000000000001</v>
      </c>
      <c r="G40" s="488">
        <f t="shared" si="5"/>
        <v>0.14000000000000001</v>
      </c>
      <c r="H40" s="488">
        <f t="shared" si="5"/>
        <v>0.14000000000000001</v>
      </c>
      <c r="I40" s="166"/>
      <c r="J40" s="115"/>
      <c r="K40" s="115"/>
      <c r="L40" s="115"/>
      <c r="M40" s="115"/>
    </row>
    <row r="41" spans="1:13">
      <c r="A41" s="115"/>
      <c r="B41" s="221">
        <v>8</v>
      </c>
      <c r="C41" s="222" t="s">
        <v>457</v>
      </c>
      <c r="D41" s="489">
        <f t="shared" ref="D41:H41" si="6">D40*D32</f>
        <v>177.44300000000001</v>
      </c>
      <c r="E41" s="489">
        <f t="shared" ca="1" si="6"/>
        <v>177.44300000000001</v>
      </c>
      <c r="F41" s="489">
        <f t="shared" ca="1" si="6"/>
        <v>699.21132287181911</v>
      </c>
      <c r="G41" s="489">
        <f t="shared" ca="1" si="6"/>
        <v>1037.7313228718192</v>
      </c>
      <c r="H41" s="489">
        <f t="shared" ca="1" si="6"/>
        <v>1260.9613228718192</v>
      </c>
      <c r="I41" s="166"/>
      <c r="J41" s="115"/>
      <c r="K41" s="115"/>
      <c r="L41" s="115"/>
      <c r="M41" s="115"/>
    </row>
    <row r="42" spans="1:13">
      <c r="A42" s="115"/>
      <c r="B42" s="221">
        <f t="shared" si="2"/>
        <v>9</v>
      </c>
      <c r="C42" s="222" t="s">
        <v>458</v>
      </c>
      <c r="D42" s="489">
        <f t="shared" ref="D42:H42" ca="1" si="7">D40*((D36-D32)/2)</f>
        <v>0</v>
      </c>
      <c r="E42" s="489">
        <f t="shared" ca="1" si="7"/>
        <v>260.88416143590956</v>
      </c>
      <c r="F42" s="489">
        <f t="shared" ca="1" si="7"/>
        <v>169.26000000000002</v>
      </c>
      <c r="G42" s="489">
        <f t="shared" ca="1" si="7"/>
        <v>111.61500000000008</v>
      </c>
      <c r="H42" s="489">
        <f t="shared" ca="1" si="7"/>
        <v>80.262000000000029</v>
      </c>
      <c r="I42" s="166"/>
      <c r="J42" s="115"/>
      <c r="K42" s="115"/>
      <c r="L42" s="115"/>
      <c r="M42" s="115"/>
    </row>
    <row r="43" spans="1:13">
      <c r="A43" s="115"/>
      <c r="B43" s="221">
        <f t="shared" si="2"/>
        <v>10</v>
      </c>
      <c r="C43" s="225" t="s">
        <v>450</v>
      </c>
      <c r="D43" s="489">
        <f t="shared" ref="D43:H43" ca="1" si="8">D41+D42</f>
        <v>177.44300000000001</v>
      </c>
      <c r="E43" s="489">
        <f t="shared" ca="1" si="8"/>
        <v>438.3271614359096</v>
      </c>
      <c r="F43" s="489">
        <f t="shared" ca="1" si="8"/>
        <v>868.4713228718191</v>
      </c>
      <c r="G43" s="489">
        <f t="shared" ca="1" si="8"/>
        <v>1149.3463228718192</v>
      </c>
      <c r="H43" s="489">
        <f t="shared" ca="1" si="8"/>
        <v>1341.2233228718192</v>
      </c>
      <c r="I43" s="166"/>
      <c r="J43" s="115"/>
      <c r="K43" s="115"/>
      <c r="L43" s="115"/>
      <c r="M43" s="115"/>
    </row>
    <row r="44" spans="1:13">
      <c r="A44" s="115"/>
      <c r="B44" s="166"/>
      <c r="C44" s="166"/>
      <c r="D44" s="166"/>
      <c r="E44" s="166"/>
      <c r="F44" s="166"/>
      <c r="G44" s="166"/>
      <c r="H44" s="166"/>
      <c r="I44" s="166"/>
      <c r="J44" s="115"/>
      <c r="K44" s="115"/>
      <c r="L44" s="115"/>
      <c r="M44" s="115"/>
    </row>
    <row r="45" spans="1:13">
      <c r="A45" s="115"/>
      <c r="B45" s="221"/>
      <c r="C45" s="222"/>
      <c r="D45" s="166"/>
      <c r="E45" s="166"/>
      <c r="F45" s="166"/>
      <c r="G45" s="166"/>
      <c r="H45" s="166"/>
      <c r="I45" s="166"/>
      <c r="J45" s="115"/>
      <c r="K45" s="115"/>
      <c r="L45" s="115"/>
      <c r="M45" s="115"/>
    </row>
    <row r="46" spans="1:13">
      <c r="A46" s="115"/>
      <c r="B46" s="115"/>
      <c r="C46" s="115"/>
      <c r="D46" s="115"/>
      <c r="E46" s="115"/>
      <c r="F46" s="115"/>
      <c r="G46" s="115"/>
      <c r="H46" s="115"/>
      <c r="I46" s="115"/>
      <c r="J46" s="115"/>
      <c r="K46" s="115"/>
      <c r="L46" s="115"/>
      <c r="M46" s="115"/>
    </row>
    <row r="47" spans="1:13" ht="27.75" customHeight="1">
      <c r="A47" s="115"/>
      <c r="B47" s="115"/>
      <c r="C47" s="1037" t="s">
        <v>459</v>
      </c>
      <c r="D47" s="1037"/>
      <c r="E47" s="1037"/>
      <c r="F47" s="1037"/>
      <c r="G47" s="1037"/>
      <c r="H47" s="1037"/>
      <c r="I47" s="1037"/>
      <c r="J47" s="1037"/>
      <c r="K47" s="1037"/>
      <c r="L47" s="1037"/>
      <c r="M47" s="1037"/>
    </row>
    <row r="48" spans="1:13">
      <c r="A48" s="115"/>
      <c r="B48" s="115"/>
      <c r="C48" s="115" t="s">
        <v>460</v>
      </c>
      <c r="D48" s="115"/>
      <c r="E48" s="115"/>
      <c r="F48" s="115"/>
      <c r="G48" s="115"/>
      <c r="H48" s="115"/>
      <c r="I48" s="115"/>
      <c r="J48" s="115"/>
      <c r="K48" s="115"/>
      <c r="L48" s="115"/>
      <c r="M48" s="115"/>
    </row>
    <row r="49" spans="2:8">
      <c r="C49" s="3" t="s">
        <v>461</v>
      </c>
    </row>
    <row r="53" spans="2:8">
      <c r="B53" s="1005" t="s">
        <v>365</v>
      </c>
      <c r="C53" s="1005" t="s">
        <v>57</v>
      </c>
      <c r="D53" s="963" t="s">
        <v>367</v>
      </c>
      <c r="E53" s="964"/>
      <c r="F53" s="964"/>
      <c r="G53" s="964"/>
      <c r="H53" s="965"/>
    </row>
    <row r="54" spans="2:8">
      <c r="B54" s="1006"/>
      <c r="C54" s="1006"/>
      <c r="D54" s="198" t="s">
        <v>58</v>
      </c>
      <c r="E54" s="198" t="s">
        <v>59</v>
      </c>
      <c r="F54" s="198" t="s">
        <v>60</v>
      </c>
      <c r="G54" s="198"/>
      <c r="H54" s="198"/>
    </row>
    <row r="55" spans="2:8">
      <c r="B55" s="1035"/>
      <c r="C55" s="1035"/>
      <c r="D55" s="198" t="s">
        <v>1261</v>
      </c>
      <c r="E55" s="198" t="s">
        <v>1261</v>
      </c>
      <c r="F55" s="198" t="s">
        <v>1262</v>
      </c>
      <c r="G55" s="198"/>
      <c r="H55" s="198"/>
    </row>
    <row r="56" spans="2:8">
      <c r="B56" s="221">
        <v>1</v>
      </c>
      <c r="C56" s="222" t="s">
        <v>453</v>
      </c>
      <c r="D56" s="166">
        <v>1267.45</v>
      </c>
      <c r="E56" s="166">
        <f>D60</f>
        <v>1267.45</v>
      </c>
      <c r="F56" s="166">
        <f>E60</f>
        <v>1267.45</v>
      </c>
      <c r="G56" s="166"/>
      <c r="H56" s="166"/>
    </row>
    <row r="57" spans="2:8">
      <c r="B57" s="221">
        <f>B56+1</f>
        <v>2</v>
      </c>
      <c r="C57" s="222" t="s">
        <v>442</v>
      </c>
      <c r="D57" s="166"/>
      <c r="E57" s="166"/>
      <c r="F57" s="166"/>
      <c r="G57" s="166"/>
      <c r="H57" s="166"/>
    </row>
    <row r="58" spans="2:8">
      <c r="B58" s="221">
        <f t="shared" ref="B58:B67" si="9">B57+1</f>
        <v>3</v>
      </c>
      <c r="C58" s="222" t="s">
        <v>454</v>
      </c>
      <c r="D58" s="166">
        <f>0.3*D57</f>
        <v>0</v>
      </c>
      <c r="E58" s="166">
        <f t="shared" ref="E58:F58" si="10">0.3*E57</f>
        <v>0</v>
      </c>
      <c r="F58" s="166">
        <f t="shared" si="10"/>
        <v>0</v>
      </c>
      <c r="G58" s="166"/>
      <c r="H58" s="166"/>
    </row>
    <row r="59" spans="2:8" ht="30">
      <c r="B59" s="223">
        <f t="shared" si="9"/>
        <v>4</v>
      </c>
      <c r="C59" s="224" t="s">
        <v>445</v>
      </c>
      <c r="D59" s="166"/>
      <c r="E59" s="166"/>
      <c r="F59" s="166"/>
      <c r="G59" s="166"/>
      <c r="H59" s="166"/>
    </row>
    <row r="60" spans="2:8">
      <c r="B60" s="221">
        <f t="shared" si="9"/>
        <v>5</v>
      </c>
      <c r="C60" s="222" t="s">
        <v>446</v>
      </c>
      <c r="D60" s="166">
        <f>D56+D58-D59</f>
        <v>1267.45</v>
      </c>
      <c r="E60" s="166">
        <f t="shared" ref="E60:F60" si="11">E56+E58-E59</f>
        <v>1267.45</v>
      </c>
      <c r="F60" s="166">
        <f t="shared" si="11"/>
        <v>1267.45</v>
      </c>
      <c r="G60" s="166"/>
      <c r="H60" s="166"/>
    </row>
    <row r="61" spans="2:8">
      <c r="B61" s="221"/>
      <c r="C61" s="222"/>
      <c r="D61" s="166"/>
      <c r="E61" s="166"/>
      <c r="F61" s="166"/>
      <c r="G61" s="166"/>
      <c r="H61" s="166"/>
    </row>
    <row r="62" spans="2:8">
      <c r="B62" s="221"/>
      <c r="C62" s="225" t="s">
        <v>447</v>
      </c>
      <c r="D62" s="166"/>
      <c r="E62" s="166"/>
      <c r="F62" s="166"/>
      <c r="G62" s="166"/>
      <c r="H62" s="166"/>
    </row>
    <row r="63" spans="2:8">
      <c r="B63" s="221">
        <v>6</v>
      </c>
      <c r="C63" s="222" t="s">
        <v>455</v>
      </c>
      <c r="D63" s="487">
        <v>0.14000000000000001</v>
      </c>
      <c r="E63" s="487">
        <v>0.14000000000000001</v>
      </c>
      <c r="F63" s="487">
        <v>0.14000000000000001</v>
      </c>
      <c r="G63" s="166"/>
      <c r="H63" s="166"/>
    </row>
    <row r="64" spans="2:8">
      <c r="B64" s="221">
        <v>7</v>
      </c>
      <c r="C64" s="222" t="s">
        <v>456</v>
      </c>
      <c r="D64" s="488">
        <f>D63/(1-0)</f>
        <v>0.14000000000000001</v>
      </c>
      <c r="E64" s="488">
        <f t="shared" ref="E64:F64" si="12">E63/(1-0)</f>
        <v>0.14000000000000001</v>
      </c>
      <c r="F64" s="488">
        <f t="shared" si="12"/>
        <v>0.14000000000000001</v>
      </c>
      <c r="G64" s="166"/>
      <c r="H64" s="166"/>
    </row>
    <row r="65" spans="2:8">
      <c r="B65" s="221">
        <v>8</v>
      </c>
      <c r="C65" s="222" t="s">
        <v>457</v>
      </c>
      <c r="D65" s="489">
        <f>D64*D56</f>
        <v>177.44300000000001</v>
      </c>
      <c r="E65" s="489">
        <f t="shared" ref="E65:F65" si="13">E64*E56</f>
        <v>177.44300000000001</v>
      </c>
      <c r="F65" s="489">
        <f t="shared" si="13"/>
        <v>177.44300000000001</v>
      </c>
      <c r="G65" s="166"/>
      <c r="H65" s="166"/>
    </row>
    <row r="66" spans="2:8">
      <c r="B66" s="221">
        <f t="shared" si="9"/>
        <v>9</v>
      </c>
      <c r="C66" s="222" t="s">
        <v>458</v>
      </c>
      <c r="D66" s="489">
        <f>D64*((D60-D56)/2)</f>
        <v>0</v>
      </c>
      <c r="E66" s="489">
        <f t="shared" ref="E66:F66" si="14">E64*((E60-E56)/2)</f>
        <v>0</v>
      </c>
      <c r="F66" s="489">
        <f t="shared" si="14"/>
        <v>0</v>
      </c>
      <c r="G66" s="166"/>
      <c r="H66" s="166"/>
    </row>
    <row r="67" spans="2:8">
      <c r="B67" s="221">
        <f t="shared" si="9"/>
        <v>10</v>
      </c>
      <c r="C67" s="225" t="s">
        <v>450</v>
      </c>
      <c r="D67" s="489">
        <f>D65+D66</f>
        <v>177.44300000000001</v>
      </c>
      <c r="E67" s="489">
        <f t="shared" ref="E67:F67" si="15">E65+E66</f>
        <v>177.44300000000001</v>
      </c>
      <c r="F67" s="489">
        <f t="shared" si="15"/>
        <v>177.44300000000001</v>
      </c>
      <c r="G67" s="166"/>
      <c r="H67" s="166"/>
    </row>
    <row r="68" spans="2:8">
      <c r="B68" s="166"/>
      <c r="C68" s="166"/>
      <c r="D68" s="166"/>
      <c r="E68" s="166"/>
      <c r="F68" s="166"/>
      <c r="G68" s="166"/>
      <c r="H68" s="166"/>
    </row>
    <row r="69" spans="2:8">
      <c r="B69" s="221"/>
      <c r="C69" s="222"/>
      <c r="D69" s="166"/>
      <c r="E69" s="166"/>
      <c r="F69" s="166"/>
      <c r="G69" s="166"/>
      <c r="H69" s="166"/>
    </row>
    <row r="70" spans="2:8">
      <c r="D70" s="3" t="s">
        <v>1263</v>
      </c>
      <c r="E70" s="3" t="s">
        <v>1263</v>
      </c>
      <c r="F70" s="3" t="s">
        <v>1263</v>
      </c>
    </row>
  </sheetData>
  <mergeCells count="14">
    <mergeCell ref="B6:B7"/>
    <mergeCell ref="C6:C7"/>
    <mergeCell ref="G6:I6"/>
    <mergeCell ref="J6:L6"/>
    <mergeCell ref="D6:F6"/>
    <mergeCell ref="B53:B55"/>
    <mergeCell ref="C53:C55"/>
    <mergeCell ref="D53:H53"/>
    <mergeCell ref="C47:M47"/>
    <mergeCell ref="B26:M26"/>
    <mergeCell ref="B29:B31"/>
    <mergeCell ref="C29:C31"/>
    <mergeCell ref="D29:H29"/>
    <mergeCell ref="I29:I31"/>
  </mergeCells>
  <phoneticPr fontId="0" type="noConversion"/>
  <pageMargins left="0.57999999999999996" right="0.25" top="1" bottom="1" header="0.25" footer="0.25"/>
  <pageSetup paperSize="9" scale="54" orientation="landscape" r:id="rId1"/>
  <headerFooter alignWithMargins="0">
    <oddHeader>&amp;F</oddHeader>
  </headerFooter>
</worksheet>
</file>

<file path=xl/worksheets/sheet23.xml><?xml version="1.0" encoding="utf-8"?>
<worksheet xmlns="http://schemas.openxmlformats.org/spreadsheetml/2006/main" xmlns:r="http://schemas.openxmlformats.org/officeDocument/2006/relationships">
  <dimension ref="B1:T29"/>
  <sheetViews>
    <sheetView showGridLines="0" view="pageBreakPreview" topLeftCell="J1" zoomScale="65" zoomScaleNormal="75" workbookViewId="0">
      <selection activeCell="O25" sqref="O25:S25"/>
    </sheetView>
  </sheetViews>
  <sheetFormatPr defaultColWidth="9.28515625" defaultRowHeight="15"/>
  <cols>
    <col min="1" max="1" width="4.28515625" style="1" customWidth="1"/>
    <col min="2" max="2" width="6.28515625" style="1" customWidth="1"/>
    <col min="3" max="3" width="57.42578125" style="1" customWidth="1"/>
    <col min="4" max="6" width="13.7109375" style="1" customWidth="1"/>
    <col min="7" max="10" width="16.28515625" style="1" customWidth="1"/>
    <col min="11" max="20" width="15.7109375" style="1" customWidth="1"/>
    <col min="21" max="16384" width="9.28515625" style="1"/>
  </cols>
  <sheetData>
    <row r="1" spans="2:20">
      <c r="B1" s="6"/>
    </row>
    <row r="2" spans="2:20">
      <c r="B2" s="82"/>
      <c r="C2" s="179"/>
      <c r="D2" s="179"/>
      <c r="E2" s="179"/>
      <c r="F2" s="179"/>
      <c r="G2" s="179"/>
      <c r="H2" s="179"/>
      <c r="I2" s="81" t="s">
        <v>0</v>
      </c>
      <c r="J2" s="179"/>
      <c r="K2" s="179"/>
      <c r="L2" s="179"/>
      <c r="M2" s="179"/>
      <c r="N2" s="179"/>
      <c r="O2" s="179"/>
      <c r="P2" s="179"/>
      <c r="Q2" s="179"/>
      <c r="R2" s="179"/>
      <c r="S2" s="179"/>
      <c r="T2" s="179"/>
    </row>
    <row r="3" spans="2:20">
      <c r="B3" s="82"/>
      <c r="C3" s="179"/>
      <c r="D3" s="179"/>
      <c r="E3" s="179"/>
      <c r="F3" s="179"/>
      <c r="G3" s="179"/>
      <c r="H3" s="179"/>
      <c r="I3" s="88" t="s">
        <v>1</v>
      </c>
      <c r="J3" s="179"/>
      <c r="K3" s="179"/>
      <c r="L3" s="179"/>
      <c r="M3" s="179"/>
      <c r="N3" s="179"/>
      <c r="O3" s="179"/>
      <c r="P3" s="179"/>
      <c r="Q3" s="179"/>
      <c r="R3" s="179"/>
      <c r="S3" s="179"/>
      <c r="T3" s="179"/>
    </row>
    <row r="4" spans="2:20">
      <c r="C4" s="179"/>
      <c r="D4" s="179"/>
      <c r="E4" s="179"/>
      <c r="F4" s="179"/>
      <c r="G4" s="179"/>
      <c r="H4" s="179"/>
      <c r="I4" s="62" t="s">
        <v>462</v>
      </c>
      <c r="J4" s="179"/>
      <c r="K4" s="179"/>
      <c r="L4" s="179"/>
      <c r="M4" s="179"/>
      <c r="N4" s="179"/>
      <c r="O4" s="179"/>
      <c r="P4" s="179"/>
      <c r="Q4" s="179"/>
      <c r="R4" s="179"/>
      <c r="S4" s="179"/>
      <c r="T4" s="179"/>
    </row>
    <row r="5" spans="2:20">
      <c r="B5" s="2"/>
      <c r="C5" s="2"/>
      <c r="D5" s="2"/>
      <c r="E5" s="2"/>
      <c r="F5" s="2"/>
    </row>
    <row r="6" spans="2:20">
      <c r="C6" s="7"/>
      <c r="D6" s="7"/>
      <c r="E6" s="7"/>
      <c r="F6" s="7"/>
      <c r="J6" s="7"/>
      <c r="L6" s="8"/>
      <c r="T6" s="8" t="s">
        <v>1198</v>
      </c>
    </row>
    <row r="7" spans="2:20" s="85" customFormat="1">
      <c r="B7" s="956" t="s">
        <v>2</v>
      </c>
      <c r="C7" s="959" t="s">
        <v>57</v>
      </c>
      <c r="D7" s="963" t="s">
        <v>58</v>
      </c>
      <c r="E7" s="964"/>
      <c r="F7" s="965"/>
      <c r="G7" s="963" t="s">
        <v>59</v>
      </c>
      <c r="H7" s="964"/>
      <c r="I7" s="965"/>
      <c r="J7" s="963" t="s">
        <v>60</v>
      </c>
      <c r="K7" s="964"/>
      <c r="L7" s="964"/>
      <c r="M7" s="964"/>
      <c r="N7" s="965"/>
      <c r="O7" s="954" t="s">
        <v>61</v>
      </c>
      <c r="P7" s="954"/>
      <c r="Q7" s="954"/>
      <c r="R7" s="954"/>
      <c r="S7" s="954"/>
      <c r="T7" s="954" t="s">
        <v>62</v>
      </c>
    </row>
    <row r="8" spans="2:20" s="85" customFormat="1" ht="42.75">
      <c r="B8" s="957"/>
      <c r="C8" s="959"/>
      <c r="D8" s="198" t="s">
        <v>63</v>
      </c>
      <c r="E8" s="198" t="s">
        <v>64</v>
      </c>
      <c r="F8" s="198" t="s">
        <v>65</v>
      </c>
      <c r="G8" s="198" t="s">
        <v>63</v>
      </c>
      <c r="H8" s="198" t="s">
        <v>64</v>
      </c>
      <c r="I8" s="198" t="s">
        <v>65</v>
      </c>
      <c r="J8" s="198" t="s">
        <v>63</v>
      </c>
      <c r="K8" s="198" t="s">
        <v>66</v>
      </c>
      <c r="L8" s="198" t="s">
        <v>67</v>
      </c>
      <c r="M8" s="198" t="s">
        <v>68</v>
      </c>
      <c r="N8" s="198" t="s">
        <v>69</v>
      </c>
      <c r="O8" s="198" t="s">
        <v>70</v>
      </c>
      <c r="P8" s="198" t="s">
        <v>71</v>
      </c>
      <c r="Q8" s="198" t="s">
        <v>72</v>
      </c>
      <c r="R8" s="198" t="s">
        <v>73</v>
      </c>
      <c r="S8" s="198" t="s">
        <v>74</v>
      </c>
      <c r="T8" s="954"/>
    </row>
    <row r="9" spans="2:20" s="85" customFormat="1" ht="28.5" customHeight="1">
      <c r="B9" s="958"/>
      <c r="C9" s="960"/>
      <c r="D9" s="198" t="s">
        <v>75</v>
      </c>
      <c r="E9" s="198" t="s">
        <v>76</v>
      </c>
      <c r="F9" s="198" t="s">
        <v>77</v>
      </c>
      <c r="G9" s="198" t="s">
        <v>78</v>
      </c>
      <c r="H9" s="198" t="s">
        <v>79</v>
      </c>
      <c r="I9" s="198" t="s">
        <v>80</v>
      </c>
      <c r="J9" s="198" t="s">
        <v>81</v>
      </c>
      <c r="K9" s="198" t="s">
        <v>82</v>
      </c>
      <c r="L9" s="198" t="s">
        <v>83</v>
      </c>
      <c r="M9" s="198" t="s">
        <v>84</v>
      </c>
      <c r="N9" s="198" t="s">
        <v>85</v>
      </c>
      <c r="O9" s="198" t="s">
        <v>86</v>
      </c>
      <c r="P9" s="198" t="s">
        <v>86</v>
      </c>
      <c r="Q9" s="198" t="s">
        <v>86</v>
      </c>
      <c r="R9" s="198" t="s">
        <v>86</v>
      </c>
      <c r="S9" s="198" t="s">
        <v>86</v>
      </c>
      <c r="T9" s="955"/>
    </row>
    <row r="10" spans="2:20" s="8" customFormat="1" ht="15.75" customHeight="1">
      <c r="B10" s="60">
        <v>1</v>
      </c>
      <c r="C10" s="10" t="s">
        <v>463</v>
      </c>
      <c r="D10" s="420"/>
      <c r="E10" s="425">
        <f>-('TB22-23'!E393+'TB22-23'!E394)/10^5</f>
        <v>11.430957599999999</v>
      </c>
      <c r="F10" s="420"/>
      <c r="G10" s="421"/>
      <c r="H10" s="421"/>
      <c r="I10" s="421"/>
      <c r="J10" s="421"/>
      <c r="K10" s="421"/>
      <c r="L10" s="421"/>
      <c r="M10" s="421"/>
      <c r="N10" s="421"/>
      <c r="O10" s="421"/>
      <c r="P10" s="421"/>
      <c r="Q10" s="421"/>
      <c r="R10" s="421"/>
      <c r="S10" s="421"/>
      <c r="T10" s="421"/>
    </row>
    <row r="11" spans="2:20" s="8" customFormat="1" ht="15.75" customHeight="1">
      <c r="B11" s="60">
        <v>2</v>
      </c>
      <c r="C11" s="10" t="s">
        <v>1502</v>
      </c>
      <c r="D11" s="420">
        <v>349.05</v>
      </c>
      <c r="E11" s="420">
        <f ca="1">'F17'!D39</f>
        <v>452.84743749905823</v>
      </c>
      <c r="F11" s="420"/>
      <c r="G11" s="421">
        <v>270.38</v>
      </c>
      <c r="H11" s="421">
        <f ca="1">'F17'!E39</f>
        <v>610.30251865216712</v>
      </c>
      <c r="I11" s="421"/>
      <c r="J11" s="421">
        <v>126.9</v>
      </c>
      <c r="K11" s="421"/>
      <c r="L11" s="421"/>
      <c r="M11" s="421">
        <f ca="1">'F17'!E17</f>
        <v>558.72058715801711</v>
      </c>
      <c r="N11" s="421"/>
      <c r="O11" s="421">
        <f ca="1">'F17'!F17</f>
        <v>255.48339829668043</v>
      </c>
      <c r="P11" s="421">
        <f ca="1">'F17'!G17</f>
        <v>3.1239951983351926</v>
      </c>
      <c r="Q11" s="421">
        <f ca="1">'F17'!H17</f>
        <v>0</v>
      </c>
      <c r="R11" s="421">
        <f ca="1">'F17'!I17</f>
        <v>0</v>
      </c>
      <c r="S11" s="421">
        <f ca="1">'F17'!J17</f>
        <v>0</v>
      </c>
      <c r="T11" s="421"/>
    </row>
    <row r="12" spans="2:20" s="8" customFormat="1" ht="15.75" customHeight="1">
      <c r="B12" s="60">
        <v>3</v>
      </c>
      <c r="C12" s="10" t="s">
        <v>464</v>
      </c>
      <c r="D12" s="420"/>
      <c r="E12" s="420"/>
      <c r="F12" s="420"/>
      <c r="G12" s="421"/>
      <c r="H12" s="421"/>
      <c r="I12" s="421"/>
      <c r="J12" s="421"/>
      <c r="K12" s="421"/>
      <c r="L12" s="421"/>
      <c r="M12" s="421"/>
      <c r="N12" s="421"/>
      <c r="O12" s="421"/>
      <c r="P12" s="421"/>
      <c r="Q12" s="421"/>
      <c r="R12" s="421"/>
      <c r="S12" s="421"/>
      <c r="T12" s="421"/>
    </row>
    <row r="13" spans="2:20" s="8" customFormat="1" ht="15.75" customHeight="1">
      <c r="B13" s="60">
        <v>4</v>
      </c>
      <c r="C13" s="10" t="s">
        <v>465</v>
      </c>
      <c r="D13" s="422"/>
      <c r="E13" s="422">
        <f>-('TB22-23'!E391+'TB22-23'!E392)/10^5</f>
        <v>0.1276592</v>
      </c>
      <c r="F13" s="422"/>
      <c r="G13" s="421"/>
      <c r="H13" s="421">
        <f>-('TB23-24'!E391+'TB23-24'!E392)/10^5</f>
        <v>0.49867359999999999</v>
      </c>
      <c r="I13" s="421"/>
      <c r="J13" s="421"/>
      <c r="K13" s="421">
        <f>-('TB24-25_sept24'!E384+'TB24-25_sept24'!E385)/10^5</f>
        <v>0.2403459</v>
      </c>
      <c r="L13" s="421"/>
      <c r="M13" s="421"/>
      <c r="N13" s="421"/>
      <c r="O13" s="421"/>
      <c r="P13" s="421"/>
      <c r="Q13" s="421"/>
      <c r="R13" s="421"/>
      <c r="S13" s="421"/>
      <c r="T13" s="421"/>
    </row>
    <row r="14" spans="2:20" s="8" customFormat="1" ht="15.75" customHeight="1">
      <c r="B14" s="60">
        <v>5</v>
      </c>
      <c r="C14" s="10" t="s">
        <v>466</v>
      </c>
      <c r="D14" s="423"/>
      <c r="E14" s="423">
        <f>-('TB22-23'!E395+'TB22-23'!E396)/10^5</f>
        <v>0.40600000000000003</v>
      </c>
      <c r="F14" s="423"/>
      <c r="G14" s="421"/>
      <c r="H14" s="421">
        <f>-('TB23-24'!E395+'TB23-24'!E396)/10^5</f>
        <v>0.73</v>
      </c>
      <c r="I14" s="421"/>
      <c r="J14" s="421"/>
      <c r="K14" s="421">
        <f>-('TB24-25_sept24'!E386+'TB24-25_sept24'!E387)/10^5</f>
        <v>0.60499999999999998</v>
      </c>
      <c r="L14" s="421"/>
      <c r="M14" s="421"/>
      <c r="N14" s="421"/>
      <c r="O14" s="421"/>
      <c r="P14" s="421"/>
      <c r="Q14" s="421"/>
      <c r="R14" s="421"/>
      <c r="S14" s="421"/>
      <c r="T14" s="421"/>
    </row>
    <row r="15" spans="2:20" s="8" customFormat="1" ht="15.75" customHeight="1">
      <c r="B15" s="60">
        <v>6</v>
      </c>
      <c r="C15" s="10" t="s">
        <v>1184</v>
      </c>
      <c r="D15" s="422"/>
      <c r="E15" s="422">
        <f>-'TB22-23'!E383/10^5</f>
        <v>27.18384</v>
      </c>
      <c r="F15" s="422"/>
      <c r="G15" s="421"/>
      <c r="H15" s="421">
        <f>-'TB23-24'!E383/10^5</f>
        <v>27.081800000000001</v>
      </c>
      <c r="I15" s="421"/>
      <c r="J15" s="421"/>
      <c r="K15" s="421">
        <f>-'TB24-25_sept24'!E376/10^5</f>
        <v>15.37</v>
      </c>
      <c r="L15" s="421"/>
      <c r="M15" s="421"/>
      <c r="N15" s="421"/>
      <c r="O15" s="421"/>
      <c r="P15" s="421"/>
      <c r="Q15" s="421"/>
      <c r="R15" s="421"/>
      <c r="S15" s="421"/>
      <c r="T15" s="421"/>
    </row>
    <row r="16" spans="2:20" s="8" customFormat="1" ht="15.75" customHeight="1">
      <c r="B16" s="60">
        <v>7</v>
      </c>
      <c r="C16" s="10" t="s">
        <v>1185</v>
      </c>
      <c r="D16" s="422"/>
      <c r="E16" s="422">
        <f>-'TB22-23'!E384/10^5</f>
        <v>13.6</v>
      </c>
      <c r="F16" s="422"/>
      <c r="G16" s="421"/>
      <c r="H16" s="421">
        <f>-'TB23-24'!E384/10^5</f>
        <v>6.15</v>
      </c>
      <c r="I16" s="421"/>
      <c r="J16" s="421"/>
      <c r="K16" s="421">
        <f>-'TB24-25_sept24'!E377/10^5</f>
        <v>2</v>
      </c>
      <c r="L16" s="421"/>
      <c r="M16" s="421"/>
      <c r="N16" s="421"/>
      <c r="O16" s="421"/>
      <c r="P16" s="421"/>
      <c r="Q16" s="421"/>
      <c r="R16" s="421"/>
      <c r="S16" s="421"/>
      <c r="T16" s="421"/>
    </row>
    <row r="17" spans="2:20" s="8" customFormat="1" ht="15.75" customHeight="1">
      <c r="B17" s="60">
        <v>8</v>
      </c>
      <c r="C17" s="10" t="s">
        <v>957</v>
      </c>
      <c r="D17" s="422"/>
      <c r="E17" s="422">
        <f>-('TB22-23'!E387+'TB22-23'!E388)/10^5</f>
        <v>0.12096999999999999</v>
      </c>
      <c r="F17" s="422"/>
      <c r="G17" s="421"/>
      <c r="H17" s="421">
        <f>-('TB23-24'!E387+'TB23-24'!E388)/10^5</f>
        <v>5.3749999999999999E-2</v>
      </c>
      <c r="I17" s="421"/>
      <c r="J17" s="421"/>
      <c r="K17" s="421">
        <f>-('TB24-25_sept24'!E380+'TB24-25_sept24'!E381)/10^5</f>
        <v>-2.1579999999999998E-2</v>
      </c>
      <c r="L17" s="421"/>
      <c r="M17" s="421"/>
      <c r="N17" s="421"/>
      <c r="O17" s="421"/>
      <c r="P17" s="421"/>
      <c r="Q17" s="421"/>
      <c r="R17" s="421"/>
      <c r="S17" s="421"/>
      <c r="T17" s="421"/>
    </row>
    <row r="18" spans="2:20" s="8" customFormat="1" ht="15.75" customHeight="1">
      <c r="B18" s="60">
        <v>9</v>
      </c>
      <c r="C18" s="10" t="s">
        <v>1186</v>
      </c>
      <c r="D18" s="422"/>
      <c r="E18" s="422">
        <f>-'TB22-23'!E390/10^5</f>
        <v>10.860378899999999</v>
      </c>
      <c r="F18" s="422"/>
      <c r="G18" s="421"/>
      <c r="H18" s="421">
        <f>-'TB23-24'!E390/10^5</f>
        <v>11.7131881</v>
      </c>
      <c r="I18" s="421"/>
      <c r="J18" s="421"/>
      <c r="K18" s="421">
        <f>-'TB24-25_sept24'!E383/10^5</f>
        <v>5.0851364999999999</v>
      </c>
      <c r="L18" s="421"/>
      <c r="M18" s="421"/>
      <c r="N18" s="421"/>
      <c r="O18" s="421"/>
      <c r="P18" s="421"/>
      <c r="Q18" s="421"/>
      <c r="R18" s="421"/>
      <c r="S18" s="421"/>
      <c r="T18" s="421"/>
    </row>
    <row r="19" spans="2:20" s="8" customFormat="1" ht="15.75" customHeight="1">
      <c r="B19" s="60">
        <v>10</v>
      </c>
      <c r="C19" s="10" t="s">
        <v>1187</v>
      </c>
      <c r="D19" s="422"/>
      <c r="E19" s="422">
        <f>-('TB22-23'!E398+'TB22-23'!E399+'TB22-23'!E400+'TB22-23'!E401+'TB22-23'!E402)/10^5</f>
        <v>1.2318798999999998</v>
      </c>
      <c r="F19" s="422"/>
      <c r="G19" s="421"/>
      <c r="H19" s="421">
        <f>-('TB23-24'!E398+'TB23-24'!E399+'TB23-24'!E400+'TB23-24'!E401)/10^5</f>
        <v>34.743434399999998</v>
      </c>
      <c r="I19" s="421"/>
      <c r="J19" s="421"/>
      <c r="K19" s="421">
        <f>-('TB24-25_sept24'!E389+'TB24-25_sept24'!E390+'TB24-25_sept24'!E391)/10^5</f>
        <v>-3.4395053999999998</v>
      </c>
      <c r="L19" s="421"/>
      <c r="M19" s="421"/>
      <c r="N19" s="421"/>
      <c r="O19" s="421"/>
      <c r="P19" s="421"/>
      <c r="Q19" s="421"/>
      <c r="R19" s="421"/>
      <c r="S19" s="421"/>
      <c r="T19" s="421"/>
    </row>
    <row r="20" spans="2:20" s="8" customFormat="1">
      <c r="B20" s="60">
        <v>11</v>
      </c>
      <c r="C20" s="10" t="s">
        <v>966</v>
      </c>
      <c r="D20" s="422"/>
      <c r="E20" s="422">
        <f>-'TB22-23'!E403/10^5</f>
        <v>6.2404999999999999</v>
      </c>
      <c r="F20" s="422"/>
      <c r="G20" s="421"/>
      <c r="H20" s="421">
        <f>-('TB23-24'!E403)/10^5</f>
        <v>0</v>
      </c>
      <c r="I20" s="421"/>
      <c r="J20" s="421"/>
      <c r="K20" s="421"/>
      <c r="L20" s="421"/>
      <c r="M20" s="421"/>
      <c r="N20" s="421"/>
      <c r="O20" s="421"/>
      <c r="P20" s="421"/>
      <c r="Q20" s="421"/>
      <c r="R20" s="421"/>
      <c r="S20" s="421"/>
      <c r="T20" s="421"/>
    </row>
    <row r="21" spans="2:20" s="8" customFormat="1">
      <c r="B21" s="60">
        <v>12</v>
      </c>
      <c r="C21" s="10" t="s">
        <v>968</v>
      </c>
      <c r="D21" s="422"/>
      <c r="E21" s="422">
        <f>-'TB22-23'!E405/10^5</f>
        <v>2</v>
      </c>
      <c r="F21" s="422"/>
      <c r="G21" s="421"/>
      <c r="H21" s="421">
        <f>-'TB23-24'!E405/10^5</f>
        <v>3.2</v>
      </c>
      <c r="I21" s="421"/>
      <c r="J21" s="421"/>
      <c r="K21" s="421">
        <f>-'TB24-25_sept24'!E395/10^5</f>
        <v>1.2</v>
      </c>
      <c r="L21" s="421"/>
      <c r="M21" s="421"/>
      <c r="N21" s="421"/>
      <c r="O21" s="421"/>
      <c r="P21" s="421"/>
      <c r="Q21" s="421"/>
      <c r="R21" s="421"/>
      <c r="S21" s="421"/>
      <c r="T21" s="421"/>
    </row>
    <row r="22" spans="2:20" s="8" customFormat="1">
      <c r="B22" s="60">
        <v>13</v>
      </c>
      <c r="C22" s="10" t="s">
        <v>969</v>
      </c>
      <c r="D22" s="422"/>
      <c r="E22" s="422"/>
      <c r="F22" s="422"/>
      <c r="G22" s="421"/>
      <c r="H22" s="421">
        <f>-'TB23-24'!E406/10^5</f>
        <v>28.05</v>
      </c>
      <c r="I22" s="421"/>
      <c r="J22" s="421"/>
      <c r="K22" s="421">
        <f>-'TB24-25_sept24'!E396/10^5</f>
        <v>120.605</v>
      </c>
      <c r="L22" s="421"/>
      <c r="M22" s="421"/>
      <c r="N22" s="421"/>
      <c r="O22" s="421"/>
      <c r="P22" s="421"/>
      <c r="Q22" s="421"/>
      <c r="R22" s="421"/>
      <c r="S22" s="421"/>
      <c r="T22" s="421"/>
    </row>
    <row r="23" spans="2:20" s="8" customFormat="1">
      <c r="B23" s="60">
        <v>14</v>
      </c>
      <c r="C23" s="10" t="s">
        <v>970</v>
      </c>
      <c r="D23" s="422"/>
      <c r="E23" s="422">
        <f>-'TB22-23'!E407/10^5</f>
        <v>1.67741E-2</v>
      </c>
      <c r="F23" s="422"/>
      <c r="G23" s="421"/>
      <c r="H23" s="421">
        <f>-'TB23-24'!E407/10^5</f>
        <v>8.9224000000000005E-3</v>
      </c>
      <c r="I23" s="421"/>
      <c r="J23" s="421"/>
      <c r="K23" s="421">
        <f>-'TB24-25_sept24'!E397/10^5</f>
        <v>6.4255999999999992E-3</v>
      </c>
      <c r="L23" s="421"/>
      <c r="M23" s="421"/>
      <c r="N23" s="421"/>
      <c r="O23" s="421"/>
      <c r="P23" s="421"/>
      <c r="Q23" s="421"/>
      <c r="R23" s="421"/>
      <c r="S23" s="421"/>
      <c r="T23" s="421"/>
    </row>
    <row r="24" spans="2:20" s="8" customFormat="1">
      <c r="B24" s="563"/>
      <c r="C24" s="564"/>
      <c r="D24" s="565">
        <v>27.56</v>
      </c>
      <c r="E24" s="565"/>
      <c r="F24" s="565"/>
      <c r="G24" s="566">
        <v>27.56</v>
      </c>
      <c r="H24" s="566"/>
      <c r="I24" s="566"/>
      <c r="J24" s="566">
        <v>27.56</v>
      </c>
      <c r="K24" s="566"/>
      <c r="L24" s="566"/>
      <c r="M24" s="566">
        <f>AVERAGE(SUM(E13:E23),SUM(H13:H23))</f>
        <v>87.008885300000003</v>
      </c>
      <c r="N24" s="566"/>
      <c r="O24" s="566">
        <f>M24</f>
        <v>87.008885300000003</v>
      </c>
      <c r="P24" s="566">
        <f>O24</f>
        <v>87.008885300000003</v>
      </c>
      <c r="Q24" s="566">
        <f t="shared" ref="Q24:S24" si="0">P24</f>
        <v>87.008885300000003</v>
      </c>
      <c r="R24" s="566">
        <f t="shared" si="0"/>
        <v>87.008885300000003</v>
      </c>
      <c r="S24" s="566">
        <f t="shared" si="0"/>
        <v>87.008885300000003</v>
      </c>
      <c r="T24" s="566"/>
    </row>
    <row r="25" spans="2:20">
      <c r="B25" s="60"/>
      <c r="C25" s="13" t="s">
        <v>235</v>
      </c>
      <c r="D25" s="424">
        <f>SUM(D10:D24)</f>
        <v>376.61</v>
      </c>
      <c r="E25" s="424">
        <f ca="1">SUM(E10:E23)</f>
        <v>526.0663971990582</v>
      </c>
      <c r="F25" s="424">
        <f ca="1">E25-D25</f>
        <v>149.45639719905819</v>
      </c>
      <c r="G25" s="424">
        <f>SUM(G10:G24)</f>
        <v>297.94</v>
      </c>
      <c r="H25" s="424">
        <f ca="1">SUM(H10:H23)</f>
        <v>722.5322871521671</v>
      </c>
      <c r="I25" s="421"/>
      <c r="J25" s="424">
        <f>SUM(J10:J24)</f>
        <v>154.46</v>
      </c>
      <c r="K25" s="424">
        <f>SUM(K10:K23)</f>
        <v>141.6508226</v>
      </c>
      <c r="L25" s="421"/>
      <c r="M25" s="424">
        <f ca="1">SUM(M10:M24)</f>
        <v>645.72947245801709</v>
      </c>
      <c r="N25" s="421">
        <f ca="1">M25-J25</f>
        <v>491.26947245801705</v>
      </c>
      <c r="O25" s="424">
        <f t="shared" ref="O25:S25" ca="1" si="1">SUM(O10:O24)</f>
        <v>342.49228359668041</v>
      </c>
      <c r="P25" s="424">
        <f t="shared" ca="1" si="1"/>
        <v>90.132880498335197</v>
      </c>
      <c r="Q25" s="424">
        <f t="shared" ca="1" si="1"/>
        <v>87.008885300000003</v>
      </c>
      <c r="R25" s="424">
        <f t="shared" ca="1" si="1"/>
        <v>87.008885300000003</v>
      </c>
      <c r="S25" s="424">
        <f t="shared" ca="1" si="1"/>
        <v>87.008885300000003</v>
      </c>
      <c r="T25" s="421"/>
    </row>
    <row r="26" spans="2:20">
      <c r="C26" s="9"/>
      <c r="D26" s="9"/>
      <c r="E26" s="9"/>
      <c r="F26" s="9"/>
    </row>
    <row r="27" spans="2:20">
      <c r="B27" s="1036" t="s">
        <v>451</v>
      </c>
      <c r="C27" s="1036"/>
      <c r="D27" s="1036"/>
      <c r="E27" s="1036"/>
    </row>
    <row r="29" spans="2:20">
      <c r="E29" s="1">
        <f ca="1">E25+'F11'!R10+'F11'!R13+'F11'!R18</f>
        <v>7527.3624158990579</v>
      </c>
      <c r="H29" s="426">
        <f ca="1">H25+'F11'!R27+'F11'!R31+'F11'!R35</f>
        <v>5536.0559321521669</v>
      </c>
      <c r="K29" s="426">
        <f>K25+'F11'!R44+'F11'!R48+'F11'!R52</f>
        <v>2275.7585426000001</v>
      </c>
    </row>
  </sheetData>
  <mergeCells count="8">
    <mergeCell ref="B27:E27"/>
    <mergeCell ref="T7:T9"/>
    <mergeCell ref="B7:B9"/>
    <mergeCell ref="C7:C9"/>
    <mergeCell ref="G7:I7"/>
    <mergeCell ref="J7:N7"/>
    <mergeCell ref="O7:S7"/>
    <mergeCell ref="D7:F7"/>
  </mergeCells>
  <phoneticPr fontId="0" type="noConversion"/>
  <pageMargins left="1.02" right="0.25" top="1" bottom="1" header="0.25" footer="0.25"/>
  <pageSetup paperSize="9" scale="36" orientation="landscape" r:id="rId1"/>
  <headerFooter alignWithMargins="0">
    <oddHeader>&amp;F</oddHeader>
  </headerFooter>
</worksheet>
</file>

<file path=xl/worksheets/sheet24.xml><?xml version="1.0" encoding="utf-8"?>
<worksheet xmlns="http://schemas.openxmlformats.org/spreadsheetml/2006/main" xmlns:r="http://schemas.openxmlformats.org/officeDocument/2006/relationships">
  <sheetPr>
    <pageSetUpPr fitToPage="1"/>
  </sheetPr>
  <dimension ref="B1:T54"/>
  <sheetViews>
    <sheetView showGridLines="0" view="pageBreakPreview" topLeftCell="A34" zoomScale="62" zoomScaleNormal="75" zoomScaleSheetLayoutView="70" workbookViewId="0">
      <selection activeCell="T36" sqref="T36"/>
    </sheetView>
  </sheetViews>
  <sheetFormatPr defaultColWidth="9.28515625" defaultRowHeight="15"/>
  <cols>
    <col min="1" max="1" width="4.28515625" style="1" customWidth="1"/>
    <col min="2" max="2" width="8.42578125" style="1" customWidth="1"/>
    <col min="3" max="3" width="57.42578125" style="1" customWidth="1"/>
    <col min="4" max="7" width="16.28515625" style="1" customWidth="1"/>
    <col min="8" max="16" width="15.7109375" style="1" customWidth="1"/>
    <col min="17" max="16384" width="9.28515625" style="1"/>
  </cols>
  <sheetData>
    <row r="1" spans="2:18">
      <c r="B1" s="6"/>
    </row>
    <row r="2" spans="2:18">
      <c r="B2" s="82"/>
      <c r="C2" s="179"/>
      <c r="D2" s="179"/>
      <c r="E2" s="179"/>
      <c r="F2" s="81" t="s">
        <v>0</v>
      </c>
      <c r="G2" s="179"/>
      <c r="H2" s="179"/>
      <c r="I2" s="179"/>
      <c r="J2" s="179"/>
      <c r="K2" s="179"/>
      <c r="L2" s="179"/>
      <c r="M2" s="179"/>
      <c r="N2" s="179"/>
      <c r="O2" s="179"/>
      <c r="P2" s="179"/>
    </row>
    <row r="3" spans="2:18">
      <c r="B3" s="82"/>
      <c r="C3" s="179"/>
      <c r="D3" s="179"/>
      <c r="E3" s="179"/>
      <c r="F3" s="88" t="s">
        <v>1</v>
      </c>
      <c r="G3" s="179"/>
      <c r="H3" s="179"/>
      <c r="I3" s="179"/>
      <c r="J3" s="179"/>
      <c r="K3" s="179"/>
      <c r="L3" s="179"/>
      <c r="M3" s="179"/>
      <c r="N3" s="179"/>
      <c r="O3" s="179"/>
      <c r="P3" s="179"/>
    </row>
    <row r="4" spans="2:18">
      <c r="C4" s="179"/>
      <c r="D4" s="179"/>
      <c r="E4" s="179"/>
      <c r="F4" s="62" t="s">
        <v>467</v>
      </c>
      <c r="G4" s="179"/>
      <c r="H4" s="179"/>
      <c r="I4" s="179"/>
      <c r="J4" s="179"/>
      <c r="K4" s="179"/>
      <c r="L4" s="179"/>
      <c r="M4" s="179"/>
      <c r="N4" s="179"/>
      <c r="O4" s="179"/>
      <c r="P4" s="179"/>
    </row>
    <row r="5" spans="2:18">
      <c r="B5" s="2"/>
      <c r="C5" s="2"/>
    </row>
    <row r="6" spans="2:18">
      <c r="B6" s="8" t="s">
        <v>468</v>
      </c>
      <c r="C6" s="7"/>
      <c r="G6" s="7"/>
      <c r="I6" s="8"/>
      <c r="L6" s="8"/>
    </row>
    <row r="7" spans="2:18">
      <c r="C7" s="7"/>
      <c r="G7" s="7"/>
      <c r="I7" s="8"/>
      <c r="L7" s="8"/>
      <c r="P7" s="8" t="s">
        <v>1198</v>
      </c>
    </row>
    <row r="8" spans="2:18">
      <c r="B8" s="182" t="s">
        <v>469</v>
      </c>
      <c r="C8" s="182" t="s">
        <v>57</v>
      </c>
      <c r="D8" s="183" t="s">
        <v>470</v>
      </c>
      <c r="E8" s="183" t="s">
        <v>471</v>
      </c>
      <c r="F8" s="183" t="s">
        <v>472</v>
      </c>
      <c r="G8" s="183" t="s">
        <v>473</v>
      </c>
      <c r="H8" s="183" t="s">
        <v>474</v>
      </c>
      <c r="I8" s="183" t="s">
        <v>475</v>
      </c>
      <c r="J8" s="183" t="s">
        <v>476</v>
      </c>
      <c r="K8" s="183" t="s">
        <v>477</v>
      </c>
      <c r="L8" s="183" t="s">
        <v>478</v>
      </c>
      <c r="M8" s="183" t="s">
        <v>479</v>
      </c>
      <c r="N8" s="183" t="s">
        <v>480</v>
      </c>
      <c r="O8" s="183" t="s">
        <v>481</v>
      </c>
      <c r="P8" s="183" t="s">
        <v>235</v>
      </c>
    </row>
    <row r="9" spans="2:18" s="9" customFormat="1">
      <c r="B9" s="184">
        <v>1</v>
      </c>
      <c r="C9" s="185" t="s">
        <v>482</v>
      </c>
      <c r="D9" s="186"/>
      <c r="E9" s="186"/>
      <c r="F9" s="186"/>
      <c r="G9" s="186"/>
      <c r="H9" s="186"/>
      <c r="I9" s="186"/>
      <c r="J9" s="186"/>
      <c r="K9" s="186"/>
      <c r="L9" s="186"/>
      <c r="M9" s="186"/>
      <c r="N9" s="186"/>
      <c r="O9" s="186"/>
      <c r="P9" s="186"/>
    </row>
    <row r="10" spans="2:18" s="9" customFormat="1">
      <c r="B10" s="187">
        <v>1.1000000000000001</v>
      </c>
      <c r="C10" s="188" t="s">
        <v>483</v>
      </c>
      <c r="D10" s="9">
        <v>0</v>
      </c>
      <c r="E10" s="560">
        <v>270.04599999999999</v>
      </c>
      <c r="F10" s="560">
        <v>289.96300000000002</v>
      </c>
      <c r="G10" s="560">
        <v>279.25799999999998</v>
      </c>
      <c r="H10" s="560">
        <v>300.6669</v>
      </c>
      <c r="I10" s="560">
        <v>289.96300000000002</v>
      </c>
      <c r="J10" s="560">
        <v>289.96300000000002</v>
      </c>
      <c r="K10" s="560">
        <v>289.928</v>
      </c>
      <c r="L10" s="560">
        <v>290.07299999999998</v>
      </c>
      <c r="M10" s="560">
        <v>289.96300000000002</v>
      </c>
      <c r="N10" s="560">
        <v>289.96300000000002</v>
      </c>
      <c r="O10" s="560">
        <v>579.923</v>
      </c>
      <c r="P10" s="186">
        <f>SUM(D10:O10)</f>
        <v>3459.7098999999998</v>
      </c>
      <c r="R10" s="9">
        <f>-'TB22-23'!E385/10^5</f>
        <v>3459.7098999999998</v>
      </c>
    </row>
    <row r="11" spans="2:18" s="9" customFormat="1">
      <c r="B11" s="187">
        <v>1.2</v>
      </c>
      <c r="C11" s="188" t="s">
        <v>484</v>
      </c>
      <c r="D11" s="186"/>
      <c r="E11" s="186"/>
      <c r="F11" s="186"/>
      <c r="G11" s="186"/>
      <c r="H11" s="186"/>
      <c r="I11" s="186"/>
      <c r="J11" s="186"/>
      <c r="K11" s="186"/>
      <c r="L11" s="186"/>
      <c r="M11" s="186"/>
      <c r="N11" s="186"/>
      <c r="O11" s="186"/>
      <c r="P11" s="186"/>
    </row>
    <row r="12" spans="2:18" s="9" customFormat="1">
      <c r="B12" s="187"/>
      <c r="C12" s="188" t="s">
        <v>157</v>
      </c>
      <c r="D12" s="569">
        <v>-9232191.1899999995</v>
      </c>
      <c r="E12" s="569">
        <v>-111646265.8</v>
      </c>
      <c r="F12" s="569">
        <v>-3177895.37</v>
      </c>
      <c r="G12" s="569">
        <v>-63213826.93</v>
      </c>
      <c r="H12" s="569">
        <v>8708638.3499999996</v>
      </c>
      <c r="I12" s="569">
        <v>-23682431.41</v>
      </c>
      <c r="J12" s="569">
        <v>14909852.140000001</v>
      </c>
      <c r="K12" s="569">
        <v>-3705022</v>
      </c>
      <c r="L12" s="569">
        <v>-11027048.58</v>
      </c>
      <c r="M12" s="569">
        <v>-5860118.6799999997</v>
      </c>
      <c r="N12" s="569">
        <v>-24502104.199999999</v>
      </c>
      <c r="O12" s="569">
        <v>106192428.8</v>
      </c>
      <c r="P12" s="186"/>
    </row>
    <row r="13" spans="2:18" s="9" customFormat="1">
      <c r="B13" s="184">
        <v>2</v>
      </c>
      <c r="C13" s="185" t="s">
        <v>485</v>
      </c>
      <c r="D13" s="186">
        <f>-D12/10^5</f>
        <v>92.321911899999989</v>
      </c>
      <c r="E13" s="186">
        <f t="shared" ref="E13:O13" si="0">-E12/10^5</f>
        <v>1116.4626579999999</v>
      </c>
      <c r="F13" s="186">
        <f t="shared" si="0"/>
        <v>31.778953700000002</v>
      </c>
      <c r="G13" s="186">
        <f t="shared" si="0"/>
        <v>632.13826930000005</v>
      </c>
      <c r="H13" s="186">
        <f t="shared" si="0"/>
        <v>-87.086383499999997</v>
      </c>
      <c r="I13" s="186">
        <f t="shared" si="0"/>
        <v>236.82431410000001</v>
      </c>
      <c r="J13" s="186">
        <f t="shared" si="0"/>
        <v>-149.09852140000001</v>
      </c>
      <c r="K13" s="186">
        <f t="shared" si="0"/>
        <v>37.050220000000003</v>
      </c>
      <c r="L13" s="186">
        <f t="shared" si="0"/>
        <v>110.2704858</v>
      </c>
      <c r="M13" s="186">
        <f t="shared" si="0"/>
        <v>58.601186799999994</v>
      </c>
      <c r="N13" s="186">
        <f t="shared" si="0"/>
        <v>245.02104199999999</v>
      </c>
      <c r="O13" s="186">
        <f t="shared" si="0"/>
        <v>-1061.9242879999999</v>
      </c>
      <c r="P13" s="186">
        <f>SUM(D13:O13)</f>
        <v>1262.3598487000002</v>
      </c>
      <c r="R13" s="9">
        <f>-'TB22-23'!E382/10^5</f>
        <v>1262.3598487000002</v>
      </c>
    </row>
    <row r="14" spans="2:18" s="9" customFormat="1">
      <c r="B14" s="187">
        <v>2.1</v>
      </c>
      <c r="C14" s="188" t="s">
        <v>483</v>
      </c>
      <c r="D14" s="186"/>
      <c r="E14" s="186"/>
      <c r="F14" s="186"/>
      <c r="G14" s="186"/>
      <c r="H14" s="186"/>
      <c r="I14" s="186"/>
      <c r="J14" s="186"/>
      <c r="K14" s="186"/>
      <c r="L14" s="186"/>
      <c r="M14" s="186"/>
      <c r="N14" s="186"/>
      <c r="O14" s="186"/>
      <c r="P14" s="186"/>
    </row>
    <row r="15" spans="2:18" s="9" customFormat="1">
      <c r="B15" s="187">
        <v>2.2000000000000002</v>
      </c>
      <c r="C15" s="188" t="s">
        <v>484</v>
      </c>
      <c r="D15" s="186"/>
      <c r="E15" s="186"/>
      <c r="F15" s="186"/>
      <c r="G15" s="186"/>
      <c r="H15" s="186"/>
      <c r="I15" s="186"/>
      <c r="J15" s="186"/>
      <c r="K15" s="186"/>
      <c r="L15" s="186"/>
      <c r="M15" s="186"/>
      <c r="N15" s="186"/>
      <c r="O15" s="186"/>
      <c r="P15" s="186"/>
    </row>
    <row r="16" spans="2:18" s="9" customFormat="1">
      <c r="B16" s="184"/>
      <c r="C16" s="188" t="s">
        <v>157</v>
      </c>
      <c r="D16" s="186"/>
      <c r="E16" s="186"/>
      <c r="F16" s="186"/>
      <c r="G16" s="186"/>
      <c r="H16" s="186"/>
      <c r="I16" s="186"/>
      <c r="J16" s="186"/>
      <c r="K16" s="186"/>
      <c r="L16" s="186"/>
      <c r="M16" s="186"/>
      <c r="N16" s="186"/>
      <c r="O16" s="186"/>
      <c r="P16" s="186"/>
    </row>
    <row r="17" spans="2:18" s="9" customFormat="1">
      <c r="B17" s="184">
        <v>3</v>
      </c>
      <c r="C17" s="185" t="s">
        <v>486</v>
      </c>
      <c r="D17" s="186"/>
      <c r="E17" s="186"/>
      <c r="F17" s="186"/>
      <c r="G17" s="186"/>
      <c r="H17" s="186"/>
      <c r="I17" s="186"/>
      <c r="J17" s="186"/>
      <c r="K17" s="186"/>
      <c r="L17" s="186"/>
      <c r="M17" s="186"/>
      <c r="N17" s="186"/>
      <c r="O17" s="186"/>
      <c r="P17" s="186"/>
    </row>
    <row r="18" spans="2:18" s="9" customFormat="1">
      <c r="B18" s="184"/>
      <c r="C18" s="369" t="s">
        <v>956</v>
      </c>
      <c r="D18" s="557">
        <v>-0.13500000000000001</v>
      </c>
      <c r="E18" s="557">
        <v>19.917000000000002</v>
      </c>
      <c r="F18" s="557">
        <v>0</v>
      </c>
      <c r="G18" s="557">
        <v>0</v>
      </c>
      <c r="H18" s="557">
        <v>0</v>
      </c>
      <c r="I18" s="557">
        <v>6.4574999999999996</v>
      </c>
      <c r="J18" s="557">
        <v>837.58500000000004</v>
      </c>
      <c r="K18" s="557">
        <v>0</v>
      </c>
      <c r="L18" s="557">
        <v>177.20499000000001</v>
      </c>
      <c r="M18" s="557">
        <v>-4.4999999999999998E-2</v>
      </c>
      <c r="N18" s="557">
        <v>331.85250000000002</v>
      </c>
      <c r="O18" s="557">
        <v>906.38927999999999</v>
      </c>
      <c r="P18" s="186">
        <f>SUM(D18:O18)</f>
        <v>2279.2262700000001</v>
      </c>
      <c r="R18" s="9">
        <f>-'TB22-23'!E386/10^5</f>
        <v>2279.2262700000001</v>
      </c>
    </row>
    <row r="19" spans="2:18" s="9" customFormat="1">
      <c r="B19" s="184"/>
      <c r="C19" s="185" t="s">
        <v>1504</v>
      </c>
      <c r="D19" s="186"/>
      <c r="E19" s="186"/>
      <c r="F19" s="186"/>
      <c r="G19" s="186"/>
      <c r="H19" s="186"/>
      <c r="I19" s="186"/>
      <c r="J19" s="186"/>
      <c r="K19" s="186"/>
      <c r="L19" s="186"/>
      <c r="M19" s="186"/>
      <c r="N19" s="186"/>
      <c r="O19" s="186"/>
      <c r="P19" s="186">
        <f>'TB22-23'!E555/10^5</f>
        <v>5.3043100000000001</v>
      </c>
    </row>
    <row r="20" spans="2:18">
      <c r="B20" s="189">
        <v>4</v>
      </c>
      <c r="C20" s="190" t="s">
        <v>487</v>
      </c>
      <c r="D20" s="191"/>
      <c r="E20" s="191"/>
      <c r="F20" s="191"/>
      <c r="G20" s="191"/>
      <c r="H20" s="191"/>
      <c r="I20" s="191"/>
      <c r="J20" s="191"/>
      <c r="K20" s="191"/>
      <c r="L20" s="191"/>
      <c r="M20" s="191"/>
      <c r="N20" s="191"/>
      <c r="O20" s="191"/>
      <c r="P20" s="192"/>
      <c r="R20" s="426">
        <f>R10-P19</f>
        <v>3454.4055899999998</v>
      </c>
    </row>
    <row r="23" spans="2:18">
      <c r="C23" s="7"/>
      <c r="G23" s="7"/>
      <c r="I23" s="8"/>
    </row>
    <row r="24" spans="2:18">
      <c r="B24" s="8" t="s">
        <v>488</v>
      </c>
      <c r="C24" s="7"/>
      <c r="G24" s="7"/>
      <c r="I24" s="8"/>
      <c r="L24" s="8"/>
    </row>
    <row r="25" spans="2:18">
      <c r="C25" s="7"/>
      <c r="G25" s="7"/>
      <c r="I25" s="8"/>
      <c r="L25" s="8"/>
      <c r="P25" s="8" t="s">
        <v>1198</v>
      </c>
    </row>
    <row r="26" spans="2:18">
      <c r="B26" s="182" t="s">
        <v>469</v>
      </c>
      <c r="C26" s="182" t="s">
        <v>57</v>
      </c>
      <c r="D26" s="183" t="s">
        <v>470</v>
      </c>
      <c r="E26" s="183" t="s">
        <v>471</v>
      </c>
      <c r="F26" s="183" t="s">
        <v>472</v>
      </c>
      <c r="G26" s="183" t="s">
        <v>473</v>
      </c>
      <c r="H26" s="183" t="s">
        <v>474</v>
      </c>
      <c r="I26" s="183" t="s">
        <v>475</v>
      </c>
      <c r="J26" s="183" t="s">
        <v>476</v>
      </c>
      <c r="K26" s="183" t="s">
        <v>477</v>
      </c>
      <c r="L26" s="183" t="s">
        <v>478</v>
      </c>
      <c r="M26" s="183" t="s">
        <v>479</v>
      </c>
      <c r="N26" s="183" t="s">
        <v>480</v>
      </c>
      <c r="O26" s="183" t="s">
        <v>481</v>
      </c>
      <c r="P26" s="183" t="s">
        <v>235</v>
      </c>
    </row>
    <row r="27" spans="2:18" s="9" customFormat="1">
      <c r="B27" s="184">
        <v>1</v>
      </c>
      <c r="C27" s="185" t="s">
        <v>482</v>
      </c>
      <c r="D27" s="186"/>
      <c r="E27" s="186"/>
      <c r="F27" s="186"/>
      <c r="G27" s="186"/>
      <c r="H27" s="186"/>
      <c r="I27" s="186"/>
      <c r="J27" s="186"/>
      <c r="K27" s="186"/>
      <c r="L27" s="186"/>
      <c r="M27" s="186"/>
      <c r="N27" s="186"/>
      <c r="O27" s="186"/>
      <c r="P27" s="186"/>
      <c r="R27" s="9">
        <f>-'TB23-24'!E385/10^5</f>
        <v>3076.6109999999999</v>
      </c>
    </row>
    <row r="28" spans="2:18" s="9" customFormat="1">
      <c r="B28" s="187">
        <v>1.1000000000000001</v>
      </c>
      <c r="C28" s="188" t="s">
        <v>483</v>
      </c>
      <c r="D28" s="557">
        <v>3.0000000000000001E-3</v>
      </c>
      <c r="E28" s="557">
        <v>256.37700000000001</v>
      </c>
      <c r="F28" s="557">
        <v>256.37700000000001</v>
      </c>
      <c r="G28" s="557">
        <v>256.37700000000001</v>
      </c>
      <c r="H28" s="557">
        <v>256.36899999999997</v>
      </c>
      <c r="I28" s="557">
        <v>256.33602000000002</v>
      </c>
      <c r="J28" s="557">
        <v>256.37700000000001</v>
      </c>
      <c r="K28" s="557">
        <v>256.36899999999997</v>
      </c>
      <c r="L28" s="557">
        <v>256.39300000000003</v>
      </c>
      <c r="M28" s="557">
        <v>220.45499999999998</v>
      </c>
      <c r="N28" s="557">
        <v>36.165999999999997</v>
      </c>
      <c r="O28" s="557">
        <v>769.01197999999999</v>
      </c>
      <c r="P28" s="186">
        <f>SUM(D28:O28)</f>
        <v>3076.6109999999999</v>
      </c>
    </row>
    <row r="29" spans="2:18" s="9" customFormat="1">
      <c r="B29" s="187">
        <v>1.2</v>
      </c>
      <c r="C29" s="188" t="s">
        <v>484</v>
      </c>
      <c r="D29" s="186"/>
      <c r="E29" s="186"/>
      <c r="F29" s="186"/>
      <c r="G29" s="186"/>
      <c r="H29" s="186"/>
      <c r="I29" s="186"/>
      <c r="J29" s="186"/>
      <c r="K29" s="186"/>
      <c r="L29" s="186"/>
      <c r="M29" s="186"/>
      <c r="N29" s="186"/>
      <c r="O29" s="186"/>
      <c r="P29" s="186"/>
    </row>
    <row r="30" spans="2:18" s="9" customFormat="1">
      <c r="B30" s="187"/>
      <c r="C30" s="188" t="s">
        <v>157</v>
      </c>
      <c r="D30" s="186"/>
      <c r="E30" s="186"/>
      <c r="F30" s="186"/>
      <c r="G30" s="186"/>
      <c r="H30" s="186"/>
      <c r="I30" s="186"/>
      <c r="J30" s="186"/>
      <c r="K30" s="186"/>
      <c r="L30" s="186"/>
      <c r="M30" s="186"/>
      <c r="N30" s="186"/>
      <c r="O30" s="186"/>
      <c r="P30" s="186"/>
    </row>
    <row r="31" spans="2:18" s="9" customFormat="1">
      <c r="B31" s="184">
        <v>2</v>
      </c>
      <c r="C31" s="185" t="s">
        <v>485</v>
      </c>
      <c r="D31" s="569">
        <v>-3725781</v>
      </c>
      <c r="E31" s="569">
        <v>-9014006.5600000005</v>
      </c>
      <c r="F31" s="569">
        <v>-7027803</v>
      </c>
      <c r="G31" s="569">
        <v>-10089081.439999999</v>
      </c>
      <c r="H31" s="569">
        <v>-5184660</v>
      </c>
      <c r="I31" s="569">
        <v>-7074665</v>
      </c>
      <c r="J31" s="569">
        <v>6866391</v>
      </c>
      <c r="K31" s="569">
        <v>-1278664</v>
      </c>
      <c r="L31" s="569">
        <v>-5160000</v>
      </c>
      <c r="M31" s="569">
        <v>-5667466</v>
      </c>
      <c r="N31" s="569">
        <v>-6724000</v>
      </c>
      <c r="O31" s="569">
        <v>-4118090</v>
      </c>
      <c r="P31" s="186"/>
      <c r="R31" s="9">
        <f>-'TB23-24'!E382/10^5</f>
        <v>581.97825999999998</v>
      </c>
    </row>
    <row r="32" spans="2:18" s="9" customFormat="1">
      <c r="B32" s="187">
        <v>2.1</v>
      </c>
      <c r="C32" s="188" t="s">
        <v>483</v>
      </c>
      <c r="D32" s="186">
        <f>-D31/10^5</f>
        <v>37.257809999999999</v>
      </c>
      <c r="E32" s="186">
        <f t="shared" ref="E32:O32" si="1">-E31/10^5</f>
        <v>90.1400656</v>
      </c>
      <c r="F32" s="186">
        <f t="shared" si="1"/>
        <v>70.278030000000001</v>
      </c>
      <c r="G32" s="186">
        <f t="shared" si="1"/>
        <v>100.8908144</v>
      </c>
      <c r="H32" s="186">
        <f t="shared" si="1"/>
        <v>51.846600000000002</v>
      </c>
      <c r="I32" s="186">
        <f t="shared" si="1"/>
        <v>70.746650000000002</v>
      </c>
      <c r="J32" s="186">
        <f t="shared" si="1"/>
        <v>-68.663910000000001</v>
      </c>
      <c r="K32" s="186">
        <f t="shared" si="1"/>
        <v>12.78664</v>
      </c>
      <c r="L32" s="186">
        <f t="shared" si="1"/>
        <v>51.6</v>
      </c>
      <c r="M32" s="186">
        <f t="shared" si="1"/>
        <v>56.674660000000003</v>
      </c>
      <c r="N32" s="186">
        <f t="shared" si="1"/>
        <v>67.239999999999995</v>
      </c>
      <c r="O32" s="186">
        <f t="shared" si="1"/>
        <v>41.180900000000001</v>
      </c>
      <c r="P32" s="186">
        <f>SUM(D32:O32)</f>
        <v>581.97825999999998</v>
      </c>
    </row>
    <row r="33" spans="2:20" s="9" customFormat="1">
      <c r="B33" s="187">
        <v>2.2000000000000002</v>
      </c>
      <c r="C33" s="188" t="s">
        <v>484</v>
      </c>
      <c r="D33" s="186"/>
      <c r="E33" s="186"/>
      <c r="F33" s="186"/>
      <c r="G33" s="186"/>
      <c r="H33" s="186"/>
      <c r="I33" s="186"/>
      <c r="J33" s="186"/>
      <c r="K33" s="186"/>
      <c r="L33" s="186"/>
      <c r="M33" s="186"/>
      <c r="N33" s="186"/>
      <c r="O33" s="186"/>
      <c r="P33" s="186"/>
    </row>
    <row r="34" spans="2:20" s="9" customFormat="1">
      <c r="B34" s="184"/>
      <c r="C34" s="188" t="s">
        <v>157</v>
      </c>
      <c r="D34" s="186"/>
      <c r="E34" s="186"/>
      <c r="F34" s="186"/>
      <c r="G34" s="186"/>
      <c r="H34" s="186"/>
      <c r="I34" s="186"/>
      <c r="J34" s="186"/>
      <c r="K34" s="186"/>
      <c r="L34" s="186"/>
      <c r="M34" s="186"/>
      <c r="N34" s="186"/>
      <c r="O34" s="186"/>
      <c r="P34" s="186"/>
    </row>
    <row r="35" spans="2:20" s="9" customFormat="1">
      <c r="B35" s="184">
        <v>3</v>
      </c>
      <c r="C35" s="185" t="s">
        <v>486</v>
      </c>
      <c r="D35" s="186"/>
      <c r="E35" s="186"/>
      <c r="F35" s="186"/>
      <c r="G35" s="186"/>
      <c r="H35" s="186"/>
      <c r="I35" s="186"/>
      <c r="J35" s="186"/>
      <c r="K35" s="186"/>
      <c r="L35" s="186"/>
      <c r="M35" s="186"/>
      <c r="N35" s="186"/>
      <c r="O35" s="186"/>
      <c r="P35" s="186"/>
      <c r="R35" s="9">
        <f>-'TB23-24'!E386/10^5</f>
        <v>1154.934385</v>
      </c>
      <c r="T35" s="613">
        <f>P36+P32</f>
        <v>1736.91264</v>
      </c>
    </row>
    <row r="36" spans="2:20" s="9" customFormat="1">
      <c r="B36" s="184"/>
      <c r="C36" s="369" t="s">
        <v>956</v>
      </c>
      <c r="D36" s="557">
        <v>0</v>
      </c>
      <c r="E36" s="557">
        <v>40.599600000000002</v>
      </c>
      <c r="F36" s="557">
        <v>133.10500000000002</v>
      </c>
      <c r="G36" s="557">
        <v>95.045000000000002</v>
      </c>
      <c r="H36" s="557">
        <v>0.44999999999999996</v>
      </c>
      <c r="I36" s="557">
        <v>178.41750000000002</v>
      </c>
      <c r="J36" s="557">
        <v>99.215000000000003</v>
      </c>
      <c r="K36" s="557">
        <v>0</v>
      </c>
      <c r="L36" s="557">
        <v>200.85000000000002</v>
      </c>
      <c r="M36" s="557">
        <v>126.934</v>
      </c>
      <c r="N36" s="557">
        <v>191.65540000000001</v>
      </c>
      <c r="O36" s="557">
        <v>88.662880000000001</v>
      </c>
      <c r="P36" s="186">
        <f>SUM(D36:O36)</f>
        <v>1154.9343800000001</v>
      </c>
    </row>
    <row r="37" spans="2:20" s="9" customFormat="1">
      <c r="B37" s="184"/>
      <c r="C37" s="376" t="s">
        <v>1504</v>
      </c>
      <c r="D37" s="559"/>
      <c r="E37" s="559"/>
      <c r="F37" s="559"/>
      <c r="G37" s="559"/>
      <c r="H37" s="559"/>
      <c r="I37" s="559"/>
      <c r="J37" s="559"/>
      <c r="K37" s="559"/>
      <c r="L37" s="559"/>
      <c r="M37" s="559"/>
      <c r="N37" s="559"/>
      <c r="O37" s="559"/>
      <c r="P37" s="559">
        <f>'TB23-24'!E555/10^5</f>
        <v>5.0948799999999999</v>
      </c>
    </row>
    <row r="38" spans="2:20">
      <c r="B38" s="189">
        <v>4</v>
      </c>
      <c r="C38" s="190" t="s">
        <v>487</v>
      </c>
      <c r="D38" s="191"/>
      <c r="E38" s="191"/>
      <c r="F38" s="191"/>
      <c r="G38" s="191"/>
      <c r="H38" s="191"/>
      <c r="I38" s="191"/>
      <c r="J38" s="191"/>
      <c r="K38" s="191"/>
      <c r="L38" s="191"/>
      <c r="M38" s="191"/>
      <c r="N38" s="191"/>
      <c r="O38" s="191"/>
      <c r="P38" s="192"/>
    </row>
    <row r="41" spans="2:20">
      <c r="B41" s="8" t="s">
        <v>489</v>
      </c>
      <c r="C41" s="7"/>
      <c r="G41" s="7"/>
      <c r="I41" s="8"/>
      <c r="L41" s="8"/>
    </row>
    <row r="42" spans="2:20">
      <c r="C42" s="7"/>
      <c r="G42" s="7"/>
      <c r="I42" s="8"/>
      <c r="L42" s="8"/>
      <c r="P42" s="8" t="s">
        <v>1198</v>
      </c>
    </row>
    <row r="43" spans="2:20">
      <c r="B43" s="182" t="s">
        <v>469</v>
      </c>
      <c r="C43" s="182" t="s">
        <v>57</v>
      </c>
      <c r="D43" s="183" t="s">
        <v>470</v>
      </c>
      <c r="E43" s="183" t="s">
        <v>471</v>
      </c>
      <c r="F43" s="183" t="s">
        <v>472</v>
      </c>
      <c r="G43" s="183" t="s">
        <v>473</v>
      </c>
      <c r="H43" s="183" t="s">
        <v>474</v>
      </c>
      <c r="I43" s="183" t="s">
        <v>475</v>
      </c>
      <c r="J43" s="183" t="s">
        <v>476</v>
      </c>
      <c r="K43" s="183" t="s">
        <v>477</v>
      </c>
      <c r="L43" s="183" t="s">
        <v>478</v>
      </c>
      <c r="M43" s="183" t="s">
        <v>479</v>
      </c>
      <c r="N43" s="183" t="s">
        <v>480</v>
      </c>
      <c r="O43" s="183" t="s">
        <v>481</v>
      </c>
      <c r="P43" s="183" t="s">
        <v>235</v>
      </c>
    </row>
    <row r="44" spans="2:20">
      <c r="B44" s="184">
        <v>1</v>
      </c>
      <c r="C44" s="185" t="s">
        <v>482</v>
      </c>
      <c r="D44" s="557">
        <v>0</v>
      </c>
      <c r="E44" s="557">
        <v>275.14999999999998</v>
      </c>
      <c r="F44" s="557">
        <v>275.14999999999998</v>
      </c>
      <c r="G44" s="557">
        <v>275.14</v>
      </c>
      <c r="H44" s="557">
        <v>275.14999999999998</v>
      </c>
      <c r="I44" s="557">
        <v>275.15999999999997</v>
      </c>
      <c r="J44" s="186"/>
      <c r="K44" s="186"/>
      <c r="L44" s="186"/>
      <c r="M44" s="186"/>
      <c r="N44" s="186"/>
      <c r="O44" s="186"/>
      <c r="P44" s="186">
        <v>3301.79</v>
      </c>
      <c r="R44" s="1">
        <f>-'TB24-25_sept24'!E378/10^5</f>
        <v>1375.75</v>
      </c>
      <c r="S44" s="1">
        <v>3301.79</v>
      </c>
    </row>
    <row r="45" spans="2:20">
      <c r="B45" s="187">
        <v>1.1000000000000001</v>
      </c>
      <c r="C45" s="188" t="s">
        <v>483</v>
      </c>
      <c r="D45" s="186"/>
      <c r="E45" s="186"/>
      <c r="F45" s="186"/>
      <c r="G45" s="186"/>
      <c r="H45" s="186"/>
      <c r="I45" s="186"/>
      <c r="J45" s="186"/>
      <c r="K45" s="186"/>
      <c r="L45" s="186"/>
      <c r="M45" s="186"/>
      <c r="N45" s="186"/>
      <c r="O45" s="186"/>
      <c r="P45" s="186"/>
    </row>
    <row r="46" spans="2:20">
      <c r="B46" s="187">
        <v>1.2</v>
      </c>
      <c r="C46" s="188" t="s">
        <v>484</v>
      </c>
      <c r="D46" s="186"/>
      <c r="E46" s="186"/>
      <c r="F46" s="186"/>
      <c r="G46" s="186"/>
      <c r="H46" s="186"/>
      <c r="I46" s="186"/>
      <c r="J46" s="186"/>
      <c r="K46" s="186"/>
      <c r="L46" s="186"/>
      <c r="M46" s="186"/>
      <c r="N46" s="186"/>
      <c r="O46" s="186"/>
      <c r="P46" s="186"/>
    </row>
    <row r="47" spans="2:20">
      <c r="B47" s="187"/>
      <c r="C47" s="188" t="s">
        <v>157</v>
      </c>
      <c r="D47" s="569">
        <v>-7151750</v>
      </c>
      <c r="E47" s="569">
        <v>-8356750</v>
      </c>
      <c r="F47" s="569">
        <v>-7934000</v>
      </c>
      <c r="G47" s="569">
        <v>10736529</v>
      </c>
      <c r="H47" s="569">
        <v>-5921250</v>
      </c>
      <c r="I47" s="569">
        <v>-12749500</v>
      </c>
      <c r="J47" s="186"/>
      <c r="K47" s="186"/>
      <c r="L47" s="186"/>
      <c r="M47" s="186"/>
      <c r="N47" s="186"/>
      <c r="O47" s="186"/>
      <c r="P47" s="186"/>
    </row>
    <row r="48" spans="2:20">
      <c r="B48" s="184">
        <v>2</v>
      </c>
      <c r="C48" s="185" t="s">
        <v>485</v>
      </c>
      <c r="D48" s="186">
        <f>-D47/10^5</f>
        <v>71.517499999999998</v>
      </c>
      <c r="E48" s="186">
        <f t="shared" ref="E48:I48" si="2">-E47/10^5</f>
        <v>83.567499999999995</v>
      </c>
      <c r="F48" s="186">
        <f t="shared" si="2"/>
        <v>79.34</v>
      </c>
      <c r="G48" s="186">
        <f t="shared" si="2"/>
        <v>-107.36529</v>
      </c>
      <c r="H48" s="186">
        <f t="shared" si="2"/>
        <v>59.212499999999999</v>
      </c>
      <c r="I48" s="186">
        <f t="shared" si="2"/>
        <v>127.495</v>
      </c>
      <c r="J48" s="186"/>
      <c r="K48" s="186"/>
      <c r="L48" s="186"/>
      <c r="M48" s="186"/>
      <c r="N48" s="186"/>
      <c r="O48" s="186"/>
      <c r="P48" s="186"/>
      <c r="R48" s="1">
        <f>-('TB24-25_sept24'!E375+'TB24-25_sept24'!E388)/10^5</f>
        <v>314.59221000000002</v>
      </c>
    </row>
    <row r="49" spans="2:18">
      <c r="B49" s="187">
        <v>2.1</v>
      </c>
      <c r="C49" s="188" t="s">
        <v>483</v>
      </c>
      <c r="D49" s="186"/>
      <c r="E49" s="186"/>
      <c r="F49" s="186"/>
      <c r="G49" s="186"/>
      <c r="H49" s="186"/>
      <c r="I49" s="186"/>
      <c r="J49" s="186"/>
      <c r="K49" s="186"/>
      <c r="L49" s="186"/>
      <c r="M49" s="186"/>
      <c r="N49" s="186"/>
      <c r="O49" s="186"/>
      <c r="P49" s="186"/>
    </row>
    <row r="50" spans="2:18">
      <c r="B50" s="187">
        <v>2.2000000000000002</v>
      </c>
      <c r="C50" s="188" t="s">
        <v>484</v>
      </c>
      <c r="D50" s="186"/>
      <c r="E50" s="186"/>
      <c r="F50" s="186"/>
      <c r="G50" s="186"/>
      <c r="H50" s="186"/>
      <c r="I50" s="186"/>
      <c r="J50" s="186"/>
      <c r="K50" s="186"/>
      <c r="L50" s="186"/>
      <c r="M50" s="186"/>
      <c r="N50" s="186"/>
      <c r="O50" s="186"/>
      <c r="P50" s="186"/>
    </row>
    <row r="51" spans="2:18">
      <c r="B51" s="184"/>
      <c r="C51" s="188" t="s">
        <v>157</v>
      </c>
      <c r="D51" s="186"/>
      <c r="E51" s="186"/>
      <c r="F51" s="186"/>
      <c r="G51" s="186"/>
      <c r="H51" s="186"/>
      <c r="I51" s="186"/>
      <c r="J51" s="186"/>
      <c r="K51" s="186"/>
      <c r="L51" s="186"/>
      <c r="M51" s="186"/>
      <c r="N51" s="186"/>
      <c r="O51" s="186"/>
      <c r="P51" s="186"/>
    </row>
    <row r="52" spans="2:18">
      <c r="B52" s="184">
        <v>3</v>
      </c>
      <c r="C52" s="185" t="s">
        <v>486</v>
      </c>
      <c r="D52" s="186"/>
      <c r="E52" s="186"/>
      <c r="F52" s="186"/>
      <c r="G52" s="186"/>
      <c r="H52" s="186"/>
      <c r="I52" s="186"/>
      <c r="J52" s="186"/>
      <c r="K52" s="186"/>
      <c r="L52" s="186"/>
      <c r="M52" s="186"/>
      <c r="N52" s="186"/>
      <c r="O52" s="186"/>
      <c r="P52" s="186"/>
      <c r="R52" s="1">
        <f>-'TB24-25_sept24'!E379/10^5</f>
        <v>443.76551000000001</v>
      </c>
    </row>
    <row r="53" spans="2:18">
      <c r="B53" s="184"/>
      <c r="C53" s="369" t="s">
        <v>956</v>
      </c>
      <c r="D53" s="557">
        <v>0.19051000000000001</v>
      </c>
      <c r="E53" s="557">
        <v>106.79</v>
      </c>
      <c r="F53" s="557">
        <v>103.55499999999999</v>
      </c>
      <c r="G53" s="557">
        <v>0.08</v>
      </c>
      <c r="H53" s="557">
        <v>0</v>
      </c>
      <c r="I53" s="557">
        <v>233.15</v>
      </c>
      <c r="J53" s="186"/>
      <c r="K53" s="186"/>
      <c r="L53" s="186"/>
      <c r="M53" s="186"/>
      <c r="N53" s="186"/>
      <c r="O53" s="186"/>
      <c r="P53" s="186">
        <f>SUM(D53:I53)</f>
        <v>443.76551000000001</v>
      </c>
    </row>
    <row r="54" spans="2:18">
      <c r="B54" s="189">
        <v>4</v>
      </c>
      <c r="C54" s="190" t="s">
        <v>487</v>
      </c>
      <c r="D54" s="186"/>
      <c r="E54" s="186"/>
      <c r="F54" s="186"/>
      <c r="G54" s="186"/>
      <c r="H54" s="186"/>
      <c r="I54" s="186"/>
      <c r="J54" s="186"/>
      <c r="K54" s="186"/>
      <c r="L54" s="186"/>
      <c r="M54" s="186"/>
      <c r="N54" s="186"/>
      <c r="O54" s="186"/>
      <c r="P54" s="186"/>
    </row>
  </sheetData>
  <pageMargins left="0.62" right="0.23622047244094491" top="0.98425196850393704" bottom="0.98425196850393704" header="0.23622047244094491" footer="0.23622047244094491"/>
  <pageSetup paperSize="9" scale="51" orientation="landscape" r:id="rId1"/>
  <headerFooter alignWithMargins="0">
    <oddHeader>&amp;F</oddHeader>
  </headerFooter>
</worksheet>
</file>

<file path=xl/worksheets/sheet25.xml><?xml version="1.0" encoding="utf-8"?>
<worksheet xmlns="http://schemas.openxmlformats.org/spreadsheetml/2006/main" xmlns:r="http://schemas.openxmlformats.org/officeDocument/2006/relationships">
  <sheetPr>
    <pageSetUpPr fitToPage="1"/>
  </sheetPr>
  <dimension ref="B1:R148"/>
  <sheetViews>
    <sheetView showGridLines="0" view="pageBreakPreview" topLeftCell="C136" zoomScale="66" zoomScaleNormal="75" workbookViewId="0">
      <selection activeCell="U43" sqref="U43"/>
    </sheetView>
  </sheetViews>
  <sheetFormatPr defaultColWidth="9.28515625" defaultRowHeight="15"/>
  <cols>
    <col min="1" max="1" width="4.28515625" style="1" customWidth="1"/>
    <col min="2" max="2" width="9.42578125" style="1" customWidth="1"/>
    <col min="3" max="3" width="57.42578125" style="1" customWidth="1"/>
    <col min="4" max="7" width="16.28515625" style="1" customWidth="1"/>
    <col min="8" max="16" width="15.7109375" style="1" customWidth="1"/>
    <col min="17" max="17" width="14.42578125" style="1" customWidth="1"/>
    <col min="18" max="16384" width="9.28515625" style="1"/>
  </cols>
  <sheetData>
    <row r="1" spans="2:17">
      <c r="B1" s="6"/>
    </row>
    <row r="2" spans="2:17">
      <c r="B2" s="82"/>
      <c r="C2" s="179"/>
      <c r="D2" s="179"/>
      <c r="E2" s="179"/>
      <c r="G2" s="179"/>
      <c r="H2" s="81" t="s">
        <v>0</v>
      </c>
      <c r="I2" s="179"/>
      <c r="J2" s="179"/>
      <c r="K2" s="179"/>
      <c r="L2" s="179"/>
      <c r="M2" s="179"/>
      <c r="N2" s="179"/>
      <c r="O2" s="179"/>
      <c r="P2" s="179"/>
    </row>
    <row r="3" spans="2:17">
      <c r="B3" s="82"/>
      <c r="C3" s="179"/>
      <c r="D3" s="179"/>
      <c r="E3" s="179"/>
      <c r="G3" s="179"/>
      <c r="H3" s="88" t="s">
        <v>1</v>
      </c>
      <c r="I3" s="179"/>
      <c r="J3" s="179"/>
      <c r="K3" s="179"/>
      <c r="L3" s="179"/>
      <c r="M3" s="179"/>
      <c r="N3" s="179"/>
      <c r="O3" s="179"/>
      <c r="P3" s="179"/>
    </row>
    <row r="4" spans="2:17">
      <c r="C4" s="179"/>
      <c r="D4" s="179"/>
      <c r="E4" s="179"/>
      <c r="G4" s="179"/>
      <c r="H4" s="62" t="s">
        <v>490</v>
      </c>
      <c r="I4" s="179"/>
      <c r="J4" s="179"/>
      <c r="K4" s="179"/>
      <c r="L4" s="179"/>
      <c r="M4" s="179"/>
      <c r="N4" s="179"/>
      <c r="O4" s="179"/>
      <c r="P4" s="179"/>
    </row>
    <row r="5" spans="2:17">
      <c r="B5" s="2"/>
      <c r="C5" s="2"/>
    </row>
    <row r="6" spans="2:17">
      <c r="B6" s="8" t="s">
        <v>491</v>
      </c>
      <c r="C6" s="7"/>
      <c r="G6" s="7"/>
      <c r="I6" s="8"/>
      <c r="L6" s="8"/>
    </row>
    <row r="7" spans="2:17">
      <c r="C7" s="7"/>
      <c r="G7" s="7"/>
      <c r="I7" s="8"/>
      <c r="L7" s="8"/>
    </row>
    <row r="8" spans="2:17">
      <c r="B8" s="8" t="s">
        <v>492</v>
      </c>
      <c r="C8" s="7"/>
      <c r="G8" s="7"/>
      <c r="I8" s="8"/>
      <c r="L8" s="8"/>
    </row>
    <row r="9" spans="2:17">
      <c r="C9" s="7"/>
      <c r="G9" s="7"/>
      <c r="I9" s="8"/>
      <c r="L9" s="8"/>
      <c r="P9" s="7" t="s">
        <v>493</v>
      </c>
    </row>
    <row r="10" spans="2:17">
      <c r="B10" s="193" t="s">
        <v>2</v>
      </c>
      <c r="C10" s="193" t="s">
        <v>57</v>
      </c>
      <c r="D10" s="183" t="s">
        <v>470</v>
      </c>
      <c r="E10" s="183" t="s">
        <v>471</v>
      </c>
      <c r="F10" s="183" t="s">
        <v>472</v>
      </c>
      <c r="G10" s="183" t="s">
        <v>473</v>
      </c>
      <c r="H10" s="183" t="s">
        <v>474</v>
      </c>
      <c r="I10" s="183" t="s">
        <v>475</v>
      </c>
      <c r="J10" s="183" t="s">
        <v>476</v>
      </c>
      <c r="K10" s="183" t="s">
        <v>477</v>
      </c>
      <c r="L10" s="183" t="s">
        <v>478</v>
      </c>
      <c r="M10" s="183" t="s">
        <v>479</v>
      </c>
      <c r="N10" s="183" t="s">
        <v>480</v>
      </c>
      <c r="O10" s="183" t="s">
        <v>481</v>
      </c>
      <c r="P10" s="183" t="s">
        <v>235</v>
      </c>
    </row>
    <row r="11" spans="2:17" s="9" customFormat="1">
      <c r="B11" s="194">
        <v>1</v>
      </c>
      <c r="C11" s="617" t="s">
        <v>1512</v>
      </c>
      <c r="D11" s="607">
        <v>23777.580184858241</v>
      </c>
      <c r="E11" s="607">
        <v>23114.838614682703</v>
      </c>
      <c r="F11" s="607">
        <v>23619.035990888384</v>
      </c>
      <c r="G11" s="607">
        <v>20118.764489458452</v>
      </c>
      <c r="H11" s="607">
        <v>22602.359661087001</v>
      </c>
      <c r="I11" s="607">
        <v>22816.750661703885</v>
      </c>
      <c r="J11" s="607">
        <v>23750.009743961851</v>
      </c>
      <c r="K11" s="607">
        <v>23744.482949499121</v>
      </c>
      <c r="L11" s="607">
        <v>23213.338223779105</v>
      </c>
      <c r="M11" s="607">
        <v>23925.065047344586</v>
      </c>
      <c r="N11" s="607">
        <v>24117.371051274113</v>
      </c>
      <c r="O11" s="607">
        <v>23955.496518235355</v>
      </c>
      <c r="P11" s="607">
        <f t="shared" ref="P11:P25" si="0">SUM(D11:O11)</f>
        <v>278755.0931367728</v>
      </c>
      <c r="Q11" s="613">
        <f>AVERAGE(D11:O11)</f>
        <v>23229.591094731066</v>
      </c>
    </row>
    <row r="12" spans="2:17" s="9" customFormat="1">
      <c r="B12" s="194">
        <v>2</v>
      </c>
      <c r="C12" s="617" t="s">
        <v>1533</v>
      </c>
      <c r="D12" s="607">
        <v>1001.058344584069</v>
      </c>
      <c r="E12" s="607">
        <v>980.55217751970144</v>
      </c>
      <c r="F12" s="607">
        <v>958.56164837440463</v>
      </c>
      <c r="G12" s="607">
        <v>856.30463001240173</v>
      </c>
      <c r="H12" s="607">
        <v>795.26943583384991</v>
      </c>
      <c r="I12" s="607">
        <v>843.86881720430119</v>
      </c>
      <c r="J12" s="607">
        <v>925.45906499429873</v>
      </c>
      <c r="K12" s="607">
        <v>847.58632655168856</v>
      </c>
      <c r="L12" s="607">
        <v>772.80506902946627</v>
      </c>
      <c r="M12" s="607">
        <v>732.11082750102923</v>
      </c>
      <c r="N12" s="607">
        <v>800.67607551841536</v>
      </c>
      <c r="O12" s="607">
        <v>891.5068085546028</v>
      </c>
      <c r="P12" s="607">
        <f t="shared" si="0"/>
        <v>10405.759225678228</v>
      </c>
      <c r="Q12" s="613">
        <f t="shared" ref="Q12:Q24" si="1">AVERAGE(D12:O12)</f>
        <v>867.14660213985235</v>
      </c>
    </row>
    <row r="13" spans="2:17" s="9" customFormat="1">
      <c r="B13" s="194">
        <v>3</v>
      </c>
      <c r="C13" s="617" t="s">
        <v>1534</v>
      </c>
      <c r="D13" s="607">
        <v>1750.7948073527884</v>
      </c>
      <c r="E13" s="607">
        <v>1681.2703027789298</v>
      </c>
      <c r="F13" s="607">
        <v>1743.5421412300684</v>
      </c>
      <c r="G13" s="607">
        <v>1518.8953699875983</v>
      </c>
      <c r="H13" s="607">
        <v>1524.7526348419096</v>
      </c>
      <c r="I13" s="607">
        <v>1651.6774607113318</v>
      </c>
      <c r="J13" s="607">
        <v>1648.781755986317</v>
      </c>
      <c r="K13" s="607">
        <v>1537.3907260146648</v>
      </c>
      <c r="L13" s="607">
        <v>1327.3545847929115</v>
      </c>
      <c r="M13" s="607">
        <v>1264.6793330588719</v>
      </c>
      <c r="N13" s="607">
        <v>1392.7653770762406</v>
      </c>
      <c r="O13" s="607">
        <v>1621.1043702861866</v>
      </c>
      <c r="P13" s="607">
        <f t="shared" si="0"/>
        <v>18663.008864117815</v>
      </c>
      <c r="Q13" s="613">
        <f t="shared" si="1"/>
        <v>1555.2507386764846</v>
      </c>
    </row>
    <row r="14" spans="2:17" s="9" customFormat="1">
      <c r="B14" s="194">
        <v>4</v>
      </c>
      <c r="C14" s="617" t="s">
        <v>1515</v>
      </c>
      <c r="D14" s="607">
        <v>866.34757503375226</v>
      </c>
      <c r="E14" s="607">
        <v>873.04292824554113</v>
      </c>
      <c r="F14" s="607">
        <v>912.36082004555817</v>
      </c>
      <c r="G14" s="607">
        <v>742.88528317486555</v>
      </c>
      <c r="H14" s="607">
        <v>754.84868774540189</v>
      </c>
      <c r="I14" s="607">
        <v>812.62845326716297</v>
      </c>
      <c r="J14" s="607">
        <v>832.73374105939672</v>
      </c>
      <c r="K14" s="607">
        <v>785.78779303934732</v>
      </c>
      <c r="L14" s="607">
        <v>650.97902328456621</v>
      </c>
      <c r="M14" s="607">
        <v>614.20317002881848</v>
      </c>
      <c r="N14" s="607">
        <v>675.59067368203864</v>
      </c>
      <c r="O14" s="607">
        <v>800.68672383510693</v>
      </c>
      <c r="P14" s="607">
        <f t="shared" si="0"/>
        <v>9322.0948724415539</v>
      </c>
      <c r="Q14" s="613">
        <f t="shared" si="1"/>
        <v>776.84123937012953</v>
      </c>
    </row>
    <row r="15" spans="2:17" s="9" customFormat="1">
      <c r="B15" s="194">
        <v>5</v>
      </c>
      <c r="C15" s="617" t="s">
        <v>1535</v>
      </c>
      <c r="D15" s="607">
        <v>444.51265967390174</v>
      </c>
      <c r="E15" s="607">
        <v>432.61401907922021</v>
      </c>
      <c r="F15" s="607">
        <v>415.3208945951543</v>
      </c>
      <c r="G15" s="607">
        <v>404.30541546093423</v>
      </c>
      <c r="H15" s="607">
        <v>435.70766687332093</v>
      </c>
      <c r="I15" s="607">
        <v>434.40661703887508</v>
      </c>
      <c r="J15" s="607">
        <v>450.5517570229087</v>
      </c>
      <c r="K15" s="607">
        <v>471.92027264277596</v>
      </c>
      <c r="L15" s="607">
        <v>450.40605810838656</v>
      </c>
      <c r="M15" s="607">
        <v>445.84116920543431</v>
      </c>
      <c r="N15" s="607">
        <v>440.92772103579898</v>
      </c>
      <c r="O15" s="607">
        <v>482.96890174604818</v>
      </c>
      <c r="P15" s="607">
        <f t="shared" si="0"/>
        <v>5309.4831524827587</v>
      </c>
      <c r="Q15" s="613">
        <f t="shared" si="1"/>
        <v>442.45692937356324</v>
      </c>
    </row>
    <row r="16" spans="2:17" s="9" customFormat="1">
      <c r="B16" s="194">
        <v>6</v>
      </c>
      <c r="C16" s="617" t="s">
        <v>1536</v>
      </c>
      <c r="D16" s="607">
        <v>10.719160868210613</v>
      </c>
      <c r="E16" s="607">
        <v>10.411986727498963</v>
      </c>
      <c r="F16" s="607">
        <v>10.390515634706977</v>
      </c>
      <c r="G16" s="607">
        <v>8.4403472509301363</v>
      </c>
      <c r="H16" s="607">
        <v>8.9854102087208112</v>
      </c>
      <c r="I16" s="607">
        <v>8.6763440860215049</v>
      </c>
      <c r="J16" s="607">
        <v>9.735917901938425</v>
      </c>
      <c r="K16" s="607">
        <v>9.1251884746462864</v>
      </c>
      <c r="L16" s="607">
        <v>7.7656707191427978</v>
      </c>
      <c r="M16" s="607">
        <v>7.2119390695759567</v>
      </c>
      <c r="N16" s="607">
        <v>7.5176312803053742</v>
      </c>
      <c r="O16" s="607">
        <v>8.9514206013017876</v>
      </c>
      <c r="P16" s="607">
        <f t="shared" si="0"/>
        <v>107.93153282299966</v>
      </c>
      <c r="Q16" s="613">
        <f t="shared" si="1"/>
        <v>8.9942944019166386</v>
      </c>
    </row>
    <row r="17" spans="2:17" s="9" customFormat="1">
      <c r="B17" s="194">
        <v>7</v>
      </c>
      <c r="C17" s="617" t="s">
        <v>1537</v>
      </c>
      <c r="D17" s="607">
        <v>4.9343026274794894</v>
      </c>
      <c r="E17" s="607">
        <v>4.9936955620074661</v>
      </c>
      <c r="F17" s="607">
        <v>5.1760612963346446</v>
      </c>
      <c r="G17" s="607">
        <v>4.5438197602315009</v>
      </c>
      <c r="H17" s="607">
        <v>4.3603223806571609</v>
      </c>
      <c r="I17" s="607">
        <v>4.5067411083540119</v>
      </c>
      <c r="J17" s="607">
        <v>4.3468021146470406</v>
      </c>
      <c r="K17" s="607">
        <v>4.410368687390271</v>
      </c>
      <c r="L17" s="607">
        <v>3.5219039769214917</v>
      </c>
      <c r="M17" s="607">
        <v>3.7428571428571424</v>
      </c>
      <c r="N17" s="607">
        <v>4.0044568245125349</v>
      </c>
      <c r="O17" s="607">
        <v>4.356276474842443</v>
      </c>
      <c r="P17" s="607">
        <f t="shared" si="0"/>
        <v>52.897607956235206</v>
      </c>
      <c r="Q17" s="613">
        <f t="shared" si="1"/>
        <v>4.4081339963529338</v>
      </c>
    </row>
    <row r="18" spans="2:17" s="9" customFormat="1">
      <c r="B18" s="194">
        <v>8</v>
      </c>
      <c r="C18" s="617" t="s">
        <v>1538</v>
      </c>
      <c r="D18" s="607">
        <v>5.1904455291307512</v>
      </c>
      <c r="E18" s="607">
        <v>5.1379095810866859</v>
      </c>
      <c r="F18" s="607">
        <v>5.2684199627252015</v>
      </c>
      <c r="G18" s="607">
        <v>4.5233154195948737</v>
      </c>
      <c r="H18" s="607">
        <v>4.2647241165530065</v>
      </c>
      <c r="I18" s="607">
        <v>4.8257237386269649</v>
      </c>
      <c r="J18" s="607">
        <v>4.6524308075049241</v>
      </c>
      <c r="K18" s="607">
        <v>4.1900237529691209</v>
      </c>
      <c r="L18" s="607">
        <v>3.4294663094992788</v>
      </c>
      <c r="M18" s="607">
        <v>3.8088513791683822</v>
      </c>
      <c r="N18" s="607">
        <v>4.132714329928814</v>
      </c>
      <c r="O18" s="607">
        <v>4.4823638805661741</v>
      </c>
      <c r="P18" s="607">
        <f t="shared" si="0"/>
        <v>53.906388807354176</v>
      </c>
      <c r="Q18" s="613">
        <f t="shared" si="1"/>
        <v>4.4921990672795147</v>
      </c>
    </row>
    <row r="19" spans="2:17" s="9" customFormat="1">
      <c r="B19" s="194">
        <v>9</v>
      </c>
      <c r="C19" s="617" t="s">
        <v>1539</v>
      </c>
      <c r="D19" s="607">
        <v>4.1412400041541177</v>
      </c>
      <c r="E19" s="607">
        <v>4.335130651182082</v>
      </c>
      <c r="F19" s="607">
        <v>4.0179333195278524</v>
      </c>
      <c r="G19" s="607">
        <v>3.9682513435303846</v>
      </c>
      <c r="H19" s="607">
        <v>4.8410828683612319</v>
      </c>
      <c r="I19" s="607">
        <v>4.831306865177833</v>
      </c>
      <c r="J19" s="607">
        <v>5.3114543381362083</v>
      </c>
      <c r="K19" s="607">
        <v>5.0414954043168443</v>
      </c>
      <c r="L19" s="607">
        <v>5.0826705130846896</v>
      </c>
      <c r="M19" s="607">
        <v>5.1162618361465624</v>
      </c>
      <c r="N19" s="607">
        <v>5.1221293717115444</v>
      </c>
      <c r="O19" s="607">
        <v>5.7831180907118505</v>
      </c>
      <c r="P19" s="607">
        <f t="shared" si="0"/>
        <v>57.592074606041201</v>
      </c>
      <c r="Q19" s="613">
        <f t="shared" si="1"/>
        <v>4.7993395505034337</v>
      </c>
    </row>
    <row r="20" spans="2:17" s="9" customFormat="1">
      <c r="B20" s="194">
        <v>10</v>
      </c>
      <c r="C20" s="617" t="s">
        <v>1524</v>
      </c>
      <c r="D20" s="607">
        <v>13.87143005504206</v>
      </c>
      <c r="E20" s="607">
        <v>12.992948983824139</v>
      </c>
      <c r="F20" s="607">
        <v>16.192172292400084</v>
      </c>
      <c r="G20" s="607">
        <v>14.049607275733774</v>
      </c>
      <c r="H20" s="607">
        <v>12.7042777433354</v>
      </c>
      <c r="I20" s="607">
        <v>13.588089330024815</v>
      </c>
      <c r="J20" s="607">
        <v>13.269202860993055</v>
      </c>
      <c r="K20" s="607">
        <v>10.896622947433645</v>
      </c>
      <c r="L20" s="607">
        <v>9.4877395425509992</v>
      </c>
      <c r="M20" s="607">
        <v>9.3215314944421586</v>
      </c>
      <c r="N20" s="607">
        <v>9.892499742081915</v>
      </c>
      <c r="O20" s="607">
        <v>13.514619278851121</v>
      </c>
      <c r="P20" s="607">
        <f t="shared" si="0"/>
        <v>149.78074154671313</v>
      </c>
      <c r="Q20" s="613">
        <f t="shared" si="1"/>
        <v>12.481728462226094</v>
      </c>
    </row>
    <row r="21" spans="2:17" s="9" customFormat="1">
      <c r="B21" s="194">
        <v>11</v>
      </c>
      <c r="C21" s="617" t="s">
        <v>1540</v>
      </c>
      <c r="D21" s="607">
        <v>6.8004154117769238</v>
      </c>
      <c r="E21" s="607">
        <v>7.0116963915387807</v>
      </c>
      <c r="F21" s="607">
        <v>6.7377510871816115</v>
      </c>
      <c r="G21" s="607">
        <v>5.1340223232740794</v>
      </c>
      <c r="H21" s="607">
        <v>7.0648894399669349</v>
      </c>
      <c r="I21" s="607">
        <v>7.6514888337468987</v>
      </c>
      <c r="J21" s="607">
        <v>7.6500466466258938</v>
      </c>
      <c r="K21" s="607">
        <v>7.2332954662811106</v>
      </c>
      <c r="L21" s="607">
        <v>5.3083453533896563</v>
      </c>
      <c r="M21" s="607">
        <v>5.8857142857142861</v>
      </c>
      <c r="N21" s="607">
        <v>6.5835964097802533</v>
      </c>
      <c r="O21" s="607">
        <v>8.5407170162206842</v>
      </c>
      <c r="P21" s="607">
        <f t="shared" si="0"/>
        <v>81.601978665497114</v>
      </c>
      <c r="Q21" s="613">
        <f t="shared" si="1"/>
        <v>6.8001648887914259</v>
      </c>
    </row>
    <row r="22" spans="2:17" s="9" customFormat="1">
      <c r="B22" s="194">
        <v>12</v>
      </c>
      <c r="C22" s="617" t="s">
        <v>1541</v>
      </c>
      <c r="D22" s="607">
        <v>6.4599439194101151</v>
      </c>
      <c r="E22" s="607">
        <v>6.5409788469514716</v>
      </c>
      <c r="F22" s="607">
        <v>6.3260302340028991</v>
      </c>
      <c r="G22" s="607">
        <v>4.638280281107896</v>
      </c>
      <c r="H22" s="607">
        <v>4.4780739822277331</v>
      </c>
      <c r="I22" s="607">
        <v>4.8595533498759309</v>
      </c>
      <c r="J22" s="607">
        <v>0</v>
      </c>
      <c r="K22" s="607">
        <v>4.5214086543426619</v>
      </c>
      <c r="L22" s="607">
        <v>3.0245209148980012</v>
      </c>
      <c r="M22" s="607">
        <v>3.5469328941951419</v>
      </c>
      <c r="N22" s="607">
        <v>4.1576395336841019</v>
      </c>
      <c r="O22" s="607">
        <v>5.1851224300030996</v>
      </c>
      <c r="P22" s="607">
        <f t="shared" si="0"/>
        <v>53.738485040699054</v>
      </c>
      <c r="Q22" s="613">
        <f t="shared" si="1"/>
        <v>4.4782070867249208</v>
      </c>
    </row>
    <row r="23" spans="2:17" s="9" customFormat="1">
      <c r="B23" s="194">
        <v>13</v>
      </c>
      <c r="C23" s="617" t="s">
        <v>1525</v>
      </c>
      <c r="D23" s="607">
        <v>1.1465365043098974</v>
      </c>
      <c r="E23" s="607">
        <v>1.1945250933222729</v>
      </c>
      <c r="F23" s="607">
        <v>1.1472354524746324</v>
      </c>
      <c r="G23" s="607">
        <v>0.99214551467548573</v>
      </c>
      <c r="H23" s="607">
        <v>1.2605910312047943</v>
      </c>
      <c r="I23" s="607">
        <v>1.3895781637717124</v>
      </c>
      <c r="J23" s="607">
        <v>0.95366435161190011</v>
      </c>
      <c r="K23" s="607">
        <v>0.76009501187648454</v>
      </c>
      <c r="L23" s="607">
        <v>0.76653616319802187</v>
      </c>
      <c r="M23" s="607">
        <v>0.62165500205846025</v>
      </c>
      <c r="N23" s="607">
        <v>0.69328381306097187</v>
      </c>
      <c r="O23" s="607">
        <v>0.89265419981403038</v>
      </c>
      <c r="P23" s="607">
        <f t="shared" si="0"/>
        <v>11.818500301378666</v>
      </c>
      <c r="Q23" s="613">
        <f t="shared" si="1"/>
        <v>0.98487502511488889</v>
      </c>
    </row>
    <row r="24" spans="2:17" s="9" customFormat="1">
      <c r="B24" s="194">
        <v>14</v>
      </c>
      <c r="C24" s="617" t="s">
        <v>1542</v>
      </c>
      <c r="D24" s="607">
        <v>0.59952227645653755</v>
      </c>
      <c r="E24" s="607">
        <v>0.60929075072583994</v>
      </c>
      <c r="F24" s="607">
        <v>0.74040173949057786</v>
      </c>
      <c r="G24" s="607">
        <v>0.54882182720132278</v>
      </c>
      <c r="H24" s="607">
        <v>0.48861334986567473</v>
      </c>
      <c r="I24" s="607">
        <v>0.47105045492142267</v>
      </c>
      <c r="J24" s="607">
        <v>0.56315953146055764</v>
      </c>
      <c r="K24" s="607">
        <v>0.47258081173190125</v>
      </c>
      <c r="L24" s="607">
        <v>0.41986400164846488</v>
      </c>
      <c r="M24" s="607">
        <v>0.35837793330588719</v>
      </c>
      <c r="N24" s="607">
        <v>0.47040132054059625</v>
      </c>
      <c r="O24" s="607">
        <v>0.66110135344560395</v>
      </c>
      <c r="P24" s="607">
        <f t="shared" si="0"/>
        <v>6.403185350794387</v>
      </c>
      <c r="Q24" s="613">
        <f t="shared" si="1"/>
        <v>0.53359877923286558</v>
      </c>
    </row>
    <row r="25" spans="2:17" s="9" customFormat="1">
      <c r="B25" s="194">
        <v>15</v>
      </c>
      <c r="C25" s="620" t="s">
        <v>1543</v>
      </c>
      <c r="D25" s="607">
        <v>0</v>
      </c>
      <c r="E25" s="607">
        <v>0</v>
      </c>
      <c r="F25" s="607">
        <v>0</v>
      </c>
      <c r="G25" s="607">
        <v>0</v>
      </c>
      <c r="H25" s="607">
        <v>0</v>
      </c>
      <c r="I25" s="607">
        <v>0</v>
      </c>
      <c r="J25" s="607">
        <v>0</v>
      </c>
      <c r="K25" s="607">
        <v>28.83969844056594</v>
      </c>
      <c r="L25" s="607">
        <v>20.564764063465894</v>
      </c>
      <c r="M25" s="607">
        <v>23.48793742280774</v>
      </c>
      <c r="N25" s="607">
        <v>25.930217682863923</v>
      </c>
      <c r="O25" s="607">
        <v>28.627874780452526</v>
      </c>
      <c r="P25" s="607">
        <f t="shared" si="0"/>
        <v>127.45049239015603</v>
      </c>
      <c r="Q25" s="613">
        <f>AVERAGE(K25:O25)</f>
        <v>25.490098478031207</v>
      </c>
    </row>
    <row r="26" spans="2:17" s="9" customFormat="1">
      <c r="C26" s="616"/>
    </row>
    <row r="27" spans="2:17" s="9" customFormat="1">
      <c r="B27" s="8" t="s">
        <v>494</v>
      </c>
    </row>
    <row r="28" spans="2:17" s="9" customFormat="1">
      <c r="P28" s="7" t="s">
        <v>493</v>
      </c>
    </row>
    <row r="29" spans="2:17">
      <c r="B29" s="193" t="s">
        <v>2</v>
      </c>
      <c r="C29" s="182" t="s">
        <v>57</v>
      </c>
      <c r="D29" s="183" t="s">
        <v>470</v>
      </c>
      <c r="E29" s="183" t="s">
        <v>471</v>
      </c>
      <c r="F29" s="183" t="s">
        <v>472</v>
      </c>
      <c r="G29" s="183" t="s">
        <v>473</v>
      </c>
      <c r="H29" s="183" t="s">
        <v>474</v>
      </c>
      <c r="I29" s="183" t="s">
        <v>475</v>
      </c>
      <c r="J29" s="183" t="s">
        <v>476</v>
      </c>
      <c r="K29" s="183" t="s">
        <v>477</v>
      </c>
      <c r="L29" s="183" t="s">
        <v>478</v>
      </c>
      <c r="M29" s="183" t="s">
        <v>479</v>
      </c>
      <c r="N29" s="183" t="s">
        <v>480</v>
      </c>
      <c r="O29" s="183" t="s">
        <v>481</v>
      </c>
      <c r="P29" s="183" t="s">
        <v>235</v>
      </c>
    </row>
    <row r="30" spans="2:17" s="9" customFormat="1">
      <c r="B30" s="187">
        <v>1</v>
      </c>
      <c r="C30" s="617" t="s">
        <v>1512</v>
      </c>
      <c r="D30" s="186">
        <v>23777.580184858241</v>
      </c>
      <c r="E30" s="186">
        <v>23123.656076316882</v>
      </c>
      <c r="F30" s="186">
        <v>24368.590267136053</v>
      </c>
      <c r="G30" s="186">
        <v>20120.247540305911</v>
      </c>
      <c r="H30" s="186">
        <v>22853.484232279399</v>
      </c>
      <c r="I30" s="186">
        <v>23269.12758478081</v>
      </c>
      <c r="J30" s="186">
        <v>23833.656722297088</v>
      </c>
      <c r="K30" s="186">
        <v>23848.318868119382</v>
      </c>
      <c r="L30" s="186">
        <v>23228.659798063054</v>
      </c>
      <c r="M30" s="186">
        <v>23925.065047344586</v>
      </c>
      <c r="N30" s="186">
        <v>24139.635406994734</v>
      </c>
      <c r="O30" s="186">
        <v>23955.496518235355</v>
      </c>
      <c r="P30" s="607">
        <f t="shared" ref="P30:P44" si="2">SUM(D30:O30)</f>
        <v>280443.51824673149</v>
      </c>
      <c r="Q30" s="613">
        <f>AVERAGE(D30:O30)</f>
        <v>23370.293187227624</v>
      </c>
    </row>
    <row r="31" spans="2:17" s="9" customFormat="1">
      <c r="B31" s="187">
        <v>2</v>
      </c>
      <c r="C31" s="617" t="s">
        <v>1533</v>
      </c>
      <c r="D31" s="186">
        <v>1039.7046006854296</v>
      </c>
      <c r="E31" s="186">
        <v>1021.3717959352965</v>
      </c>
      <c r="F31" s="186">
        <v>982.66639055705116</v>
      </c>
      <c r="G31" s="186">
        <v>893.60421661843736</v>
      </c>
      <c r="H31" s="186">
        <v>837.20074395536267</v>
      </c>
      <c r="I31" s="186">
        <v>888.58358147229114</v>
      </c>
      <c r="J31" s="186">
        <v>953.03107701876229</v>
      </c>
      <c r="K31" s="186">
        <v>889.09147991324994</v>
      </c>
      <c r="L31" s="186">
        <v>826.87063671955491</v>
      </c>
      <c r="M31" s="186">
        <v>852.9809798270893</v>
      </c>
      <c r="N31" s="186">
        <v>819.84500154750845</v>
      </c>
      <c r="O31" s="186">
        <v>898.53612976547163</v>
      </c>
      <c r="P31" s="607">
        <f t="shared" si="2"/>
        <v>10903.486634015504</v>
      </c>
      <c r="Q31" s="613">
        <f t="shared" ref="Q31:Q44" si="3">AVERAGE(D31:O31)</f>
        <v>908.62388616795863</v>
      </c>
    </row>
    <row r="32" spans="2:17" s="9" customFormat="1">
      <c r="B32" s="194">
        <v>3</v>
      </c>
      <c r="C32" s="617" t="s">
        <v>1534</v>
      </c>
      <c r="D32" s="186">
        <v>1826.1591027105619</v>
      </c>
      <c r="E32" s="186">
        <v>1895.030817088345</v>
      </c>
      <c r="F32" s="186">
        <v>1959.5916752950923</v>
      </c>
      <c r="G32" s="186">
        <v>1590.5974369574203</v>
      </c>
      <c r="H32" s="186">
        <v>1666.4375284149619</v>
      </c>
      <c r="I32" s="186">
        <v>1654.2988420181969</v>
      </c>
      <c r="J32" s="186">
        <v>1865.9832486783455</v>
      </c>
      <c r="K32" s="186">
        <v>1632.6191882680987</v>
      </c>
      <c r="L32" s="186">
        <v>1481.1166701009686</v>
      </c>
      <c r="M32" s="186">
        <v>1500.4974475092629</v>
      </c>
      <c r="N32" s="186">
        <v>1522.1389456308677</v>
      </c>
      <c r="O32" s="186">
        <v>1634.8151668560802</v>
      </c>
      <c r="P32" s="607">
        <f t="shared" si="2"/>
        <v>20229.2860695282</v>
      </c>
      <c r="Q32" s="613">
        <f t="shared" si="3"/>
        <v>1685.7738391273499</v>
      </c>
    </row>
    <row r="33" spans="2:17" s="9" customFormat="1">
      <c r="B33" s="187">
        <v>4</v>
      </c>
      <c r="C33" s="617" t="s">
        <v>1515</v>
      </c>
      <c r="D33" s="559">
        <v>903.2234707653962</v>
      </c>
      <c r="E33" s="559">
        <v>947.67917876399827</v>
      </c>
      <c r="F33" s="559">
        <v>981.39324911990059</v>
      </c>
      <c r="G33" s="559">
        <v>813.41252583712276</v>
      </c>
      <c r="H33" s="559">
        <v>812.33477991320524</v>
      </c>
      <c r="I33" s="559">
        <v>828.43296112489668</v>
      </c>
      <c r="J33" s="559">
        <v>915.45085518814142</v>
      </c>
      <c r="K33" s="559">
        <v>838.60530827222965</v>
      </c>
      <c r="L33" s="559">
        <v>761.62719967030705</v>
      </c>
      <c r="M33" s="559">
        <v>737.62622478386163</v>
      </c>
      <c r="N33" s="559">
        <v>758.47126792530685</v>
      </c>
      <c r="O33" s="559">
        <v>810.57915073871277</v>
      </c>
      <c r="P33" s="607">
        <f t="shared" si="2"/>
        <v>10108.83617210308</v>
      </c>
      <c r="Q33" s="613">
        <f t="shared" si="3"/>
        <v>842.40301434192327</v>
      </c>
    </row>
    <row r="34" spans="2:17" s="9" customFormat="1">
      <c r="B34" s="187">
        <v>5</v>
      </c>
      <c r="C34" s="617" t="s">
        <v>1535</v>
      </c>
      <c r="D34" s="559">
        <v>512.71238965624673</v>
      </c>
      <c r="E34" s="559">
        <v>505.71621733720445</v>
      </c>
      <c r="F34" s="559">
        <v>508.91604887140198</v>
      </c>
      <c r="G34" s="559">
        <v>470.78412567176514</v>
      </c>
      <c r="H34" s="559">
        <v>503.25220086794792</v>
      </c>
      <c r="I34" s="559">
        <v>509.0507030603805</v>
      </c>
      <c r="J34" s="559">
        <v>503.21086348087488</v>
      </c>
      <c r="K34" s="559">
        <v>506.25058349685014</v>
      </c>
      <c r="L34" s="559">
        <v>520.76785493509169</v>
      </c>
      <c r="M34" s="559">
        <v>522.60098806093038</v>
      </c>
      <c r="N34" s="559">
        <v>532.38374084390796</v>
      </c>
      <c r="O34" s="559">
        <v>525.96945965492307</v>
      </c>
      <c r="P34" s="607">
        <f t="shared" si="2"/>
        <v>6121.6151759375252</v>
      </c>
      <c r="Q34" s="613">
        <f t="shared" si="3"/>
        <v>510.13459799479375</v>
      </c>
    </row>
    <row r="35" spans="2:17" s="9" customFormat="1">
      <c r="B35" s="194">
        <v>6</v>
      </c>
      <c r="C35" s="617" t="s">
        <v>1536</v>
      </c>
      <c r="D35" s="559">
        <v>11.524602762488316</v>
      </c>
      <c r="E35" s="559">
        <v>11.274408958938199</v>
      </c>
      <c r="F35" s="559">
        <v>12.04564091944502</v>
      </c>
      <c r="G35" s="559">
        <v>10.067259198015709</v>
      </c>
      <c r="H35" s="559">
        <v>9.9167596610870028</v>
      </c>
      <c r="I35" s="559">
        <v>10.163358147229115</v>
      </c>
      <c r="J35" s="559">
        <v>10.823426972115683</v>
      </c>
      <c r="K35" s="559">
        <v>10.190684705153361</v>
      </c>
      <c r="L35" s="559">
        <v>9.3770451267257364</v>
      </c>
      <c r="M35" s="559">
        <v>8.8802387813915189</v>
      </c>
      <c r="N35" s="559">
        <v>9.0090580831527909</v>
      </c>
      <c r="O35" s="559">
        <v>9.8894100630230408</v>
      </c>
      <c r="P35" s="607">
        <f t="shared" si="2"/>
        <v>123.1618933787655</v>
      </c>
      <c r="Q35" s="613">
        <f t="shared" si="3"/>
        <v>10.263491114897125</v>
      </c>
    </row>
    <row r="36" spans="2:17" s="9" customFormat="1">
      <c r="B36" s="187">
        <v>7</v>
      </c>
      <c r="C36" s="617" t="s">
        <v>1537</v>
      </c>
      <c r="D36" s="559">
        <v>5.3842351230657384</v>
      </c>
      <c r="E36" s="559">
        <v>5.7632517627540443</v>
      </c>
      <c r="F36" s="559">
        <v>5.5428867260302344</v>
      </c>
      <c r="G36" s="559">
        <v>4.9794956593633728</v>
      </c>
      <c r="H36" s="559">
        <v>4.8583591651167604</v>
      </c>
      <c r="I36" s="559">
        <v>5.2477667493796529</v>
      </c>
      <c r="J36" s="559">
        <v>5.2837980719394624</v>
      </c>
      <c r="K36" s="559">
        <v>5.0643808736961677</v>
      </c>
      <c r="L36" s="559">
        <v>4.7375231815371928</v>
      </c>
      <c r="M36" s="559">
        <v>4.6941539728283237</v>
      </c>
      <c r="N36" s="559">
        <v>4.7838233776952439</v>
      </c>
      <c r="O36" s="559">
        <v>4.9576195888004957</v>
      </c>
      <c r="P36" s="607">
        <f t="shared" si="2"/>
        <v>61.29729425220669</v>
      </c>
      <c r="Q36" s="613">
        <f t="shared" si="3"/>
        <v>5.1081078543505578</v>
      </c>
    </row>
    <row r="37" spans="2:17" s="9" customFormat="1">
      <c r="B37" s="187">
        <v>8</v>
      </c>
      <c r="C37" s="617" t="s">
        <v>1538</v>
      </c>
      <c r="D37" s="559">
        <v>5.2193581888046525</v>
      </c>
      <c r="E37" s="559">
        <v>5.3737868104520947</v>
      </c>
      <c r="F37" s="559">
        <v>5.7037896044729761</v>
      </c>
      <c r="G37" s="559">
        <v>5.7080611823067375</v>
      </c>
      <c r="H37" s="559">
        <v>5.5106426947716471</v>
      </c>
      <c r="I37" s="559">
        <v>5.5319272125723744</v>
      </c>
      <c r="J37" s="559">
        <v>5.4573649839328287</v>
      </c>
      <c r="K37" s="559">
        <v>4.875513787049468</v>
      </c>
      <c r="L37" s="559">
        <v>4.6853492684937148</v>
      </c>
      <c r="M37" s="559">
        <v>4.577727459860025</v>
      </c>
      <c r="N37" s="559">
        <v>4.746889507892293</v>
      </c>
      <c r="O37" s="559">
        <v>4.7550366773427006</v>
      </c>
      <c r="P37" s="607">
        <f t="shared" si="2"/>
        <v>62.145447377951513</v>
      </c>
      <c r="Q37" s="613">
        <f t="shared" si="3"/>
        <v>5.1787872814959597</v>
      </c>
    </row>
    <row r="38" spans="2:17" s="9" customFormat="1">
      <c r="B38" s="194">
        <v>9</v>
      </c>
      <c r="C38" s="617" t="s">
        <v>1539</v>
      </c>
      <c r="D38" s="559">
        <v>4.4320697891785237</v>
      </c>
      <c r="E38" s="559">
        <v>4.6357527996681878</v>
      </c>
      <c r="F38" s="559">
        <v>4.6514392213708842</v>
      </c>
      <c r="G38" s="559">
        <v>4.6424555601488224</v>
      </c>
      <c r="H38" s="559">
        <v>5.1102707170903079</v>
      </c>
      <c r="I38" s="559">
        <v>5.1658395368072796</v>
      </c>
      <c r="J38" s="559">
        <v>5.6191562143671607</v>
      </c>
      <c r="K38" s="559">
        <v>5.5874005989879167</v>
      </c>
      <c r="L38" s="559">
        <v>5.3823614259221104</v>
      </c>
      <c r="M38" s="559">
        <v>5.5225607245780148</v>
      </c>
      <c r="N38" s="559">
        <v>5.7515320334261837</v>
      </c>
      <c r="O38" s="559">
        <v>6.1236491373075737</v>
      </c>
      <c r="P38" s="607">
        <f t="shared" si="2"/>
        <v>62.624487758852972</v>
      </c>
      <c r="Q38" s="613">
        <f t="shared" si="3"/>
        <v>5.2187073132377479</v>
      </c>
    </row>
    <row r="39" spans="2:17" s="9" customFormat="1">
      <c r="B39" s="187">
        <v>10</v>
      </c>
      <c r="C39" s="617" t="s">
        <v>1524</v>
      </c>
      <c r="D39" s="559">
        <v>15.015474088690414</v>
      </c>
      <c r="E39" s="559">
        <v>16.330153463293239</v>
      </c>
      <c r="F39" s="559">
        <v>16.646096500310623</v>
      </c>
      <c r="G39" s="559">
        <v>16.021496486151303</v>
      </c>
      <c r="H39" s="559">
        <v>14.832816697664807</v>
      </c>
      <c r="I39" s="559">
        <v>15.32340777502068</v>
      </c>
      <c r="J39" s="559">
        <v>14.911164092463979</v>
      </c>
      <c r="K39" s="559">
        <v>13.387586491789735</v>
      </c>
      <c r="L39" s="559">
        <v>14.078714197403666</v>
      </c>
      <c r="M39" s="559">
        <v>11.991766158913132</v>
      </c>
      <c r="N39" s="559">
        <v>14.028267822139687</v>
      </c>
      <c r="O39" s="559">
        <v>15.080896786858148</v>
      </c>
      <c r="P39" s="607">
        <f t="shared" si="2"/>
        <v>177.64784056069942</v>
      </c>
      <c r="Q39" s="613">
        <f t="shared" si="3"/>
        <v>14.803986713391618</v>
      </c>
    </row>
    <row r="40" spans="2:17" s="9" customFormat="1">
      <c r="B40" s="187">
        <v>11</v>
      </c>
      <c r="C40" s="617" t="s">
        <v>1540</v>
      </c>
      <c r="D40" s="559">
        <v>7.5097310208744421</v>
      </c>
      <c r="E40" s="559">
        <v>10.552882621318954</v>
      </c>
      <c r="F40" s="559">
        <v>10.149140608821702</v>
      </c>
      <c r="G40" s="559">
        <v>9.545431996692848</v>
      </c>
      <c r="H40" s="559">
        <v>8.4360405042364128</v>
      </c>
      <c r="I40" s="559">
        <v>8.4817617866004955</v>
      </c>
      <c r="J40" s="559">
        <v>9.2354514356794866</v>
      </c>
      <c r="K40" s="559">
        <v>8.0853041412785291</v>
      </c>
      <c r="L40" s="559">
        <v>7.6973830620234898</v>
      </c>
      <c r="M40" s="559">
        <v>7.3023466447097576</v>
      </c>
      <c r="N40" s="559">
        <v>8.737109254100897</v>
      </c>
      <c r="O40" s="559">
        <v>10.072362847401592</v>
      </c>
      <c r="P40" s="607">
        <f t="shared" si="2"/>
        <v>105.80494592373861</v>
      </c>
      <c r="Q40" s="613">
        <f t="shared" si="3"/>
        <v>8.8170788269782179</v>
      </c>
    </row>
    <row r="41" spans="2:17" s="9" customFormat="1">
      <c r="B41" s="194">
        <v>12</v>
      </c>
      <c r="C41" s="617" t="s">
        <v>1541</v>
      </c>
      <c r="D41" s="559">
        <v>6.7553432339806836</v>
      </c>
      <c r="E41" s="559">
        <v>8.3837826627955199</v>
      </c>
      <c r="F41" s="559">
        <v>6.6402153655001035</v>
      </c>
      <c r="G41" s="559">
        <v>5.7550640760644898</v>
      </c>
      <c r="H41" s="559">
        <v>5.6445959909072121</v>
      </c>
      <c r="I41" s="559">
        <v>9.5859801488833742</v>
      </c>
      <c r="J41" s="559">
        <v>8.4044366124183689</v>
      </c>
      <c r="K41" s="559">
        <v>8.4778271196943091</v>
      </c>
      <c r="L41" s="559">
        <v>5.0047393364928903</v>
      </c>
      <c r="M41" s="559">
        <v>4.5303005351996708</v>
      </c>
      <c r="N41" s="559">
        <v>5.0744248426699681</v>
      </c>
      <c r="O41" s="559">
        <v>5.7304266969728275</v>
      </c>
      <c r="P41" s="607">
        <f t="shared" si="2"/>
        <v>79.987136621579424</v>
      </c>
      <c r="Q41" s="613">
        <f t="shared" si="3"/>
        <v>6.665594718464952</v>
      </c>
    </row>
    <row r="42" spans="2:17" s="9" customFormat="1">
      <c r="B42" s="187">
        <v>13</v>
      </c>
      <c r="C42" s="617" t="s">
        <v>1525</v>
      </c>
      <c r="D42" s="559">
        <v>1.2628518018485824</v>
      </c>
      <c r="E42" s="559">
        <v>1.2774782248029863</v>
      </c>
      <c r="F42" s="559">
        <v>1.3957341064402569</v>
      </c>
      <c r="G42" s="559">
        <v>1.3311285655229435</v>
      </c>
      <c r="H42" s="559">
        <v>1.3432527381690433</v>
      </c>
      <c r="I42" s="559">
        <v>1.4598842018196856</v>
      </c>
      <c r="J42" s="559">
        <v>1.3185446252721054</v>
      </c>
      <c r="K42" s="559">
        <v>0.98729732520912927</v>
      </c>
      <c r="L42" s="559">
        <v>1.030290541932825</v>
      </c>
      <c r="M42" s="559">
        <v>1.020996294771511</v>
      </c>
      <c r="N42" s="559">
        <v>1.1554730217682865</v>
      </c>
      <c r="O42" s="559">
        <v>1.264593449736543</v>
      </c>
      <c r="P42" s="607">
        <f t="shared" si="2"/>
        <v>14.847524897293896</v>
      </c>
      <c r="Q42" s="613">
        <f t="shared" si="3"/>
        <v>1.237293741441158</v>
      </c>
    </row>
    <row r="43" spans="2:17" s="9" customFormat="1">
      <c r="B43" s="187">
        <v>14</v>
      </c>
      <c r="C43" s="617" t="s">
        <v>1542</v>
      </c>
      <c r="D43" s="186">
        <v>0.762696022432236</v>
      </c>
      <c r="E43" s="186">
        <v>0.82807963500622139</v>
      </c>
      <c r="F43" s="186">
        <v>0.8229032926071651</v>
      </c>
      <c r="G43" s="186">
        <v>0.65795783381562623</v>
      </c>
      <c r="H43" s="186">
        <v>0.63682579045257282</v>
      </c>
      <c r="I43" s="186">
        <v>0.69722911497105045</v>
      </c>
      <c r="J43" s="186">
        <v>0.71897999378044986</v>
      </c>
      <c r="K43" s="186">
        <v>0.62117112465145097</v>
      </c>
      <c r="L43" s="186">
        <v>0.64253039357098696</v>
      </c>
      <c r="M43" s="186">
        <v>0.65961300946891721</v>
      </c>
      <c r="N43" s="186">
        <v>0.61970494171051271</v>
      </c>
      <c r="O43" s="186">
        <v>0.67874780452526084</v>
      </c>
      <c r="P43" s="607">
        <f t="shared" si="2"/>
        <v>8.3464389569924506</v>
      </c>
      <c r="Q43" s="613">
        <f t="shared" si="3"/>
        <v>0.69553657974937089</v>
      </c>
    </row>
    <row r="44" spans="2:17" s="9" customFormat="1">
      <c r="B44" s="346">
        <v>15</v>
      </c>
      <c r="C44" s="620" t="s">
        <v>1543</v>
      </c>
      <c r="D44" s="363" t="s">
        <v>1544</v>
      </c>
      <c r="E44" s="363" t="s">
        <v>1544</v>
      </c>
      <c r="F44" s="363" t="s">
        <v>1544</v>
      </c>
      <c r="G44" s="363" t="s">
        <v>1544</v>
      </c>
      <c r="H44" s="363" t="s">
        <v>1544</v>
      </c>
      <c r="I44" s="363" t="s">
        <v>1544</v>
      </c>
      <c r="J44" s="363" t="s">
        <v>1544</v>
      </c>
      <c r="K44" s="363">
        <v>30.15172983579469</v>
      </c>
      <c r="L44" s="363">
        <v>27.53801772099732</v>
      </c>
      <c r="M44" s="363">
        <v>26.593371757925073</v>
      </c>
      <c r="N44" s="363">
        <v>27.408150211492828</v>
      </c>
      <c r="O44" s="363">
        <v>30.152991011468128</v>
      </c>
      <c r="P44" s="607">
        <f t="shared" si="2"/>
        <v>141.84426053767803</v>
      </c>
      <c r="Q44" s="613">
        <f t="shared" si="3"/>
        <v>28.368852107535606</v>
      </c>
    </row>
    <row r="46" spans="2:17">
      <c r="B46" s="8" t="s">
        <v>495</v>
      </c>
    </row>
    <row r="47" spans="2:17">
      <c r="B47" s="9"/>
      <c r="C47" s="9"/>
      <c r="D47" s="9"/>
      <c r="E47" s="9"/>
      <c r="F47" s="9"/>
      <c r="G47" s="9"/>
      <c r="H47" s="9"/>
      <c r="I47" s="9"/>
      <c r="J47" s="9"/>
      <c r="K47" s="9"/>
      <c r="L47" s="9"/>
      <c r="M47" s="9"/>
      <c r="N47" s="9"/>
      <c r="O47" s="9"/>
      <c r="P47" s="7" t="s">
        <v>493</v>
      </c>
    </row>
    <row r="48" spans="2:17">
      <c r="B48" s="193" t="s">
        <v>2</v>
      </c>
      <c r="C48" s="182" t="s">
        <v>57</v>
      </c>
      <c r="D48" s="183" t="s">
        <v>470</v>
      </c>
      <c r="E48" s="183" t="s">
        <v>471</v>
      </c>
      <c r="F48" s="183" t="s">
        <v>472</v>
      </c>
      <c r="G48" s="183" t="s">
        <v>473</v>
      </c>
      <c r="H48" s="183" t="s">
        <v>474</v>
      </c>
      <c r="I48" s="183" t="s">
        <v>475</v>
      </c>
      <c r="J48" s="183" t="s">
        <v>476</v>
      </c>
      <c r="K48" s="183" t="s">
        <v>477</v>
      </c>
      <c r="L48" s="183" t="s">
        <v>478</v>
      </c>
      <c r="M48" s="183" t="s">
        <v>479</v>
      </c>
      <c r="N48" s="183" t="s">
        <v>480</v>
      </c>
      <c r="O48" s="183" t="s">
        <v>481</v>
      </c>
      <c r="P48" s="183" t="s">
        <v>235</v>
      </c>
    </row>
    <row r="49" spans="2:18">
      <c r="B49" s="187">
        <v>1</v>
      </c>
      <c r="C49" s="619" t="s">
        <v>1512</v>
      </c>
      <c r="D49" s="559">
        <f t="shared" ref="D49:O62" si="4">+(D11+D30)/2</f>
        <v>23777.580184858241</v>
      </c>
      <c r="E49" s="559">
        <f t="shared" si="4"/>
        <v>23119.247345499793</v>
      </c>
      <c r="F49" s="559">
        <f t="shared" si="4"/>
        <v>23993.813129012218</v>
      </c>
      <c r="G49" s="559">
        <f t="shared" si="4"/>
        <v>20119.506014882179</v>
      </c>
      <c r="H49" s="559">
        <f t="shared" si="4"/>
        <v>22727.9219466832</v>
      </c>
      <c r="I49" s="559">
        <f t="shared" si="4"/>
        <v>23042.939123242348</v>
      </c>
      <c r="J49" s="559">
        <f t="shared" si="4"/>
        <v>23791.83323312947</v>
      </c>
      <c r="K49" s="559">
        <f t="shared" si="4"/>
        <v>23796.40090880925</v>
      </c>
      <c r="L49" s="559">
        <f t="shared" si="4"/>
        <v>23220.999010921078</v>
      </c>
      <c r="M49" s="559">
        <f t="shared" si="4"/>
        <v>23925.065047344586</v>
      </c>
      <c r="N49" s="559">
        <f t="shared" si="4"/>
        <v>24128.503229134425</v>
      </c>
      <c r="O49" s="559">
        <f t="shared" si="4"/>
        <v>23955.496518235355</v>
      </c>
      <c r="P49" s="559">
        <f>SUM(D49:O49)</f>
        <v>279599.30569175212</v>
      </c>
      <c r="Q49" s="613">
        <f>AVERAGE(D49:O49)</f>
        <v>23299.942140979343</v>
      </c>
      <c r="R49" s="1">
        <f>(Q11+Q30)/2</f>
        <v>23299.942140979343</v>
      </c>
    </row>
    <row r="50" spans="2:18">
      <c r="B50" s="187">
        <v>2</v>
      </c>
      <c r="C50" s="619" t="s">
        <v>1533</v>
      </c>
      <c r="D50" s="559">
        <f t="shared" si="4"/>
        <v>1020.3814726347493</v>
      </c>
      <c r="E50" s="559">
        <f t="shared" si="4"/>
        <v>1000.9619867274989</v>
      </c>
      <c r="F50" s="559">
        <f t="shared" si="4"/>
        <v>970.61401946572789</v>
      </c>
      <c r="G50" s="559">
        <f t="shared" si="4"/>
        <v>874.95442331541949</v>
      </c>
      <c r="H50" s="559">
        <f t="shared" si="4"/>
        <v>816.23508989460629</v>
      </c>
      <c r="I50" s="559">
        <f t="shared" si="4"/>
        <v>866.22619933829617</v>
      </c>
      <c r="J50" s="559">
        <f t="shared" si="4"/>
        <v>939.24507100653045</v>
      </c>
      <c r="K50" s="559">
        <f t="shared" si="4"/>
        <v>868.33890323246919</v>
      </c>
      <c r="L50" s="559">
        <f t="shared" si="4"/>
        <v>799.83785287451065</v>
      </c>
      <c r="M50" s="559">
        <f t="shared" si="4"/>
        <v>792.54590366405932</v>
      </c>
      <c r="N50" s="559">
        <f t="shared" si="4"/>
        <v>810.26053853296185</v>
      </c>
      <c r="O50" s="559">
        <f t="shared" si="4"/>
        <v>895.02146916003721</v>
      </c>
      <c r="P50" s="559">
        <f t="shared" ref="P50:P63" si="5">SUM(D50:O50)</f>
        <v>10654.622929846868</v>
      </c>
      <c r="Q50" s="613">
        <f t="shared" ref="Q50:Q63" si="6">AVERAGE(D50:O50)</f>
        <v>887.88524415390566</v>
      </c>
      <c r="R50" s="1">
        <f t="shared" ref="R50:R63" si="7">(Q12+Q31)/2</f>
        <v>887.88524415390543</v>
      </c>
    </row>
    <row r="51" spans="2:18">
      <c r="B51" s="194">
        <v>3</v>
      </c>
      <c r="C51" s="619" t="s">
        <v>1534</v>
      </c>
      <c r="D51" s="559">
        <f t="shared" si="4"/>
        <v>1788.4769550316751</v>
      </c>
      <c r="E51" s="559">
        <f t="shared" si="4"/>
        <v>1788.1505599336374</v>
      </c>
      <c r="F51" s="559">
        <f t="shared" si="4"/>
        <v>1851.5669082625805</v>
      </c>
      <c r="G51" s="559">
        <f t="shared" si="4"/>
        <v>1554.7464034725094</v>
      </c>
      <c r="H51" s="559">
        <f t="shared" si="4"/>
        <v>1595.5950816284358</v>
      </c>
      <c r="I51" s="559">
        <f t="shared" si="4"/>
        <v>1652.9881513647642</v>
      </c>
      <c r="J51" s="559">
        <f t="shared" si="4"/>
        <v>1757.3825023323311</v>
      </c>
      <c r="K51" s="559">
        <f t="shared" si="4"/>
        <v>1585.0049571413817</v>
      </c>
      <c r="L51" s="559">
        <f t="shared" si="4"/>
        <v>1404.23562744694</v>
      </c>
      <c r="M51" s="559">
        <f t="shared" si="4"/>
        <v>1382.5883902840674</v>
      </c>
      <c r="N51" s="559">
        <f t="shared" si="4"/>
        <v>1457.4521613535542</v>
      </c>
      <c r="O51" s="559">
        <f t="shared" si="4"/>
        <v>1627.9597685711333</v>
      </c>
      <c r="P51" s="559">
        <f t="shared" si="5"/>
        <v>19446.147466823011</v>
      </c>
      <c r="Q51" s="613">
        <f t="shared" si="6"/>
        <v>1620.5122889019176</v>
      </c>
      <c r="R51" s="1">
        <f t="shared" si="7"/>
        <v>1620.5122889019171</v>
      </c>
    </row>
    <row r="52" spans="2:18">
      <c r="B52" s="187">
        <v>4</v>
      </c>
      <c r="C52" s="619" t="s">
        <v>1515</v>
      </c>
      <c r="D52" s="559">
        <f t="shared" si="4"/>
        <v>884.78552289957429</v>
      </c>
      <c r="E52" s="559">
        <f t="shared" si="4"/>
        <v>910.36105350476964</v>
      </c>
      <c r="F52" s="559">
        <f t="shared" si="4"/>
        <v>946.87703458272938</v>
      </c>
      <c r="G52" s="559">
        <f t="shared" si="4"/>
        <v>778.1489045059941</v>
      </c>
      <c r="H52" s="559">
        <f t="shared" si="4"/>
        <v>783.59173382930362</v>
      </c>
      <c r="I52" s="559">
        <f t="shared" si="4"/>
        <v>820.53070719602988</v>
      </c>
      <c r="J52" s="559">
        <f t="shared" si="4"/>
        <v>874.09229812376907</v>
      </c>
      <c r="K52" s="559">
        <f t="shared" si="4"/>
        <v>812.19655065578854</v>
      </c>
      <c r="L52" s="559">
        <f t="shared" si="4"/>
        <v>706.30311147743669</v>
      </c>
      <c r="M52" s="559">
        <f t="shared" si="4"/>
        <v>675.91469740634011</v>
      </c>
      <c r="N52" s="559">
        <f t="shared" si="4"/>
        <v>717.03097080367274</v>
      </c>
      <c r="O52" s="559">
        <f t="shared" si="4"/>
        <v>805.63293728690985</v>
      </c>
      <c r="P52" s="559">
        <f t="shared" si="5"/>
        <v>9715.4655222723177</v>
      </c>
      <c r="Q52" s="613">
        <f t="shared" si="6"/>
        <v>809.62212685602651</v>
      </c>
      <c r="R52" s="1">
        <f t="shared" si="7"/>
        <v>809.6221268560264</v>
      </c>
    </row>
    <row r="53" spans="2:18">
      <c r="B53" s="187">
        <v>5</v>
      </c>
      <c r="C53" s="619" t="s">
        <v>1535</v>
      </c>
      <c r="D53" s="559">
        <f t="shared" si="4"/>
        <v>478.61252466507426</v>
      </c>
      <c r="E53" s="559">
        <f t="shared" si="4"/>
        <v>469.16511820821233</v>
      </c>
      <c r="F53" s="559">
        <f t="shared" si="4"/>
        <v>462.11847173327817</v>
      </c>
      <c r="G53" s="559">
        <f t="shared" si="4"/>
        <v>437.54477056634971</v>
      </c>
      <c r="H53" s="559">
        <f t="shared" si="4"/>
        <v>469.47993387063445</v>
      </c>
      <c r="I53" s="559">
        <f t="shared" si="4"/>
        <v>471.72866004962782</v>
      </c>
      <c r="J53" s="559">
        <f t="shared" si="4"/>
        <v>476.88131025189182</v>
      </c>
      <c r="K53" s="559">
        <f t="shared" si="4"/>
        <v>489.08542806981302</v>
      </c>
      <c r="L53" s="559">
        <f t="shared" si="4"/>
        <v>485.58695652173913</v>
      </c>
      <c r="M53" s="559">
        <f t="shared" si="4"/>
        <v>484.22107863318234</v>
      </c>
      <c r="N53" s="559">
        <f t="shared" si="4"/>
        <v>486.65573093985347</v>
      </c>
      <c r="O53" s="559">
        <f t="shared" si="4"/>
        <v>504.46918070048559</v>
      </c>
      <c r="P53" s="559">
        <f t="shared" si="5"/>
        <v>5715.5491642101415</v>
      </c>
      <c r="Q53" s="613">
        <f t="shared" si="6"/>
        <v>476.29576368417844</v>
      </c>
      <c r="R53" s="1">
        <f t="shared" si="7"/>
        <v>476.2957636841785</v>
      </c>
    </row>
    <row r="54" spans="2:18">
      <c r="B54" s="194">
        <v>6</v>
      </c>
      <c r="C54" s="619" t="s">
        <v>1536</v>
      </c>
      <c r="D54" s="559">
        <f t="shared" si="4"/>
        <v>11.121881815349465</v>
      </c>
      <c r="E54" s="559">
        <f t="shared" si="4"/>
        <v>10.843197843218581</v>
      </c>
      <c r="F54" s="559">
        <f t="shared" si="4"/>
        <v>11.218078277076</v>
      </c>
      <c r="G54" s="559">
        <f t="shared" si="4"/>
        <v>9.2538032244729216</v>
      </c>
      <c r="H54" s="559">
        <f t="shared" si="4"/>
        <v>9.451084934903907</v>
      </c>
      <c r="I54" s="559">
        <f t="shared" si="4"/>
        <v>9.4198511166253098</v>
      </c>
      <c r="J54" s="559">
        <f t="shared" si="4"/>
        <v>10.279672437027054</v>
      </c>
      <c r="K54" s="559">
        <f t="shared" si="4"/>
        <v>9.6579365898998226</v>
      </c>
      <c r="L54" s="559">
        <f t="shared" si="4"/>
        <v>8.5713579229342667</v>
      </c>
      <c r="M54" s="559">
        <f t="shared" si="4"/>
        <v>8.0460889254837369</v>
      </c>
      <c r="N54" s="559">
        <f t="shared" si="4"/>
        <v>8.2633446817290821</v>
      </c>
      <c r="O54" s="559">
        <f t="shared" si="4"/>
        <v>9.4204153321624133</v>
      </c>
      <c r="P54" s="559">
        <f t="shared" si="5"/>
        <v>115.54671310088256</v>
      </c>
      <c r="Q54" s="613">
        <f t="shared" si="6"/>
        <v>9.6288927584068791</v>
      </c>
      <c r="R54" s="1">
        <f t="shared" si="7"/>
        <v>9.6288927584068809</v>
      </c>
    </row>
    <row r="55" spans="2:18">
      <c r="B55" s="187">
        <v>7</v>
      </c>
      <c r="C55" s="619" t="s">
        <v>1537</v>
      </c>
      <c r="D55" s="559">
        <f t="shared" si="4"/>
        <v>5.1592688752726144</v>
      </c>
      <c r="E55" s="559">
        <f t="shared" si="4"/>
        <v>5.3784736623807552</v>
      </c>
      <c r="F55" s="559">
        <f t="shared" si="4"/>
        <v>5.3594740111824395</v>
      </c>
      <c r="G55" s="559">
        <f t="shared" si="4"/>
        <v>4.7616577097974364</v>
      </c>
      <c r="H55" s="559">
        <f t="shared" si="4"/>
        <v>4.6093407728869611</v>
      </c>
      <c r="I55" s="559">
        <f t="shared" si="4"/>
        <v>4.877253928866832</v>
      </c>
      <c r="J55" s="559">
        <f t="shared" si="4"/>
        <v>4.815300093293251</v>
      </c>
      <c r="K55" s="559">
        <f t="shared" si="4"/>
        <v>4.7373747805432194</v>
      </c>
      <c r="L55" s="559">
        <f t="shared" si="4"/>
        <v>4.1297135792293425</v>
      </c>
      <c r="M55" s="559">
        <f t="shared" si="4"/>
        <v>4.2185055578427333</v>
      </c>
      <c r="N55" s="559">
        <f t="shared" si="4"/>
        <v>4.3941401011038899</v>
      </c>
      <c r="O55" s="559">
        <f t="shared" si="4"/>
        <v>4.6569480318214698</v>
      </c>
      <c r="P55" s="559">
        <f t="shared" si="5"/>
        <v>57.097451104220937</v>
      </c>
      <c r="Q55" s="613">
        <f t="shared" si="6"/>
        <v>4.7581209253517445</v>
      </c>
      <c r="R55" s="1">
        <f t="shared" si="7"/>
        <v>4.7581209253517454</v>
      </c>
    </row>
    <row r="56" spans="2:18">
      <c r="B56" s="187">
        <v>8</v>
      </c>
      <c r="C56" s="619" t="s">
        <v>1538</v>
      </c>
      <c r="D56" s="559">
        <f t="shared" si="4"/>
        <v>5.2049018589677019</v>
      </c>
      <c r="E56" s="559">
        <f t="shared" si="4"/>
        <v>5.2558481957693903</v>
      </c>
      <c r="F56" s="559">
        <f t="shared" si="4"/>
        <v>5.4861047835990888</v>
      </c>
      <c r="G56" s="559">
        <f t="shared" si="4"/>
        <v>5.1156883009508061</v>
      </c>
      <c r="H56" s="559">
        <f t="shared" si="4"/>
        <v>4.8876834056623268</v>
      </c>
      <c r="I56" s="559">
        <f t="shared" si="4"/>
        <v>5.1788254755996697</v>
      </c>
      <c r="J56" s="559">
        <f t="shared" si="4"/>
        <v>5.0548978957188764</v>
      </c>
      <c r="K56" s="559">
        <f t="shared" si="4"/>
        <v>4.5327687700092945</v>
      </c>
      <c r="L56" s="559">
        <f t="shared" si="4"/>
        <v>4.057407788996497</v>
      </c>
      <c r="M56" s="559">
        <f t="shared" si="4"/>
        <v>4.1932894195142039</v>
      </c>
      <c r="N56" s="559">
        <f t="shared" si="4"/>
        <v>4.439801918910554</v>
      </c>
      <c r="O56" s="559">
        <f t="shared" si="4"/>
        <v>4.6187002789544369</v>
      </c>
      <c r="P56" s="559">
        <f t="shared" si="5"/>
        <v>58.025918092652837</v>
      </c>
      <c r="Q56" s="613">
        <f t="shared" si="6"/>
        <v>4.8354931743877367</v>
      </c>
      <c r="R56" s="1">
        <f t="shared" si="7"/>
        <v>4.8354931743877376</v>
      </c>
    </row>
    <row r="57" spans="2:18">
      <c r="B57" s="194">
        <v>9</v>
      </c>
      <c r="C57" s="619" t="s">
        <v>1539</v>
      </c>
      <c r="D57" s="559">
        <f t="shared" si="4"/>
        <v>4.2866548966663203</v>
      </c>
      <c r="E57" s="559">
        <f t="shared" si="4"/>
        <v>4.4854417254251349</v>
      </c>
      <c r="F57" s="559">
        <f t="shared" si="4"/>
        <v>4.3346862704493683</v>
      </c>
      <c r="G57" s="559">
        <f t="shared" si="4"/>
        <v>4.3053534518396033</v>
      </c>
      <c r="H57" s="559">
        <f t="shared" si="4"/>
        <v>4.9756767927257695</v>
      </c>
      <c r="I57" s="559">
        <f t="shared" si="4"/>
        <v>4.9985732009925563</v>
      </c>
      <c r="J57" s="559">
        <f t="shared" si="4"/>
        <v>5.4653052762516845</v>
      </c>
      <c r="K57" s="559">
        <f t="shared" si="4"/>
        <v>5.3144480016523801</v>
      </c>
      <c r="L57" s="559">
        <f t="shared" si="4"/>
        <v>5.2325159695033996</v>
      </c>
      <c r="M57" s="559">
        <f t="shared" si="4"/>
        <v>5.3194112803622886</v>
      </c>
      <c r="N57" s="559">
        <f t="shared" si="4"/>
        <v>5.436830702568864</v>
      </c>
      <c r="O57" s="559">
        <f t="shared" si="4"/>
        <v>5.9533836140097121</v>
      </c>
      <c r="P57" s="559">
        <f t="shared" si="5"/>
        <v>60.10828118244708</v>
      </c>
      <c r="Q57" s="613">
        <f t="shared" si="6"/>
        <v>5.00902343187059</v>
      </c>
      <c r="R57" s="1">
        <f t="shared" si="7"/>
        <v>5.0090234318705908</v>
      </c>
    </row>
    <row r="58" spans="2:18">
      <c r="B58" s="187">
        <v>10</v>
      </c>
      <c r="C58" s="619" t="s">
        <v>1524</v>
      </c>
      <c r="D58" s="559">
        <f t="shared" si="4"/>
        <v>14.443452071866236</v>
      </c>
      <c r="E58" s="559">
        <f t="shared" si="4"/>
        <v>14.661551223558689</v>
      </c>
      <c r="F58" s="559">
        <f t="shared" si="4"/>
        <v>16.419134396355354</v>
      </c>
      <c r="G58" s="559">
        <f t="shared" si="4"/>
        <v>15.035551880942538</v>
      </c>
      <c r="H58" s="559">
        <f t="shared" si="4"/>
        <v>13.768547220500103</v>
      </c>
      <c r="I58" s="559">
        <f t="shared" si="4"/>
        <v>14.455748552522747</v>
      </c>
      <c r="J58" s="559">
        <f t="shared" si="4"/>
        <v>14.090183476728516</v>
      </c>
      <c r="K58" s="559">
        <f t="shared" si="4"/>
        <v>12.142104719611691</v>
      </c>
      <c r="L58" s="559">
        <f t="shared" si="4"/>
        <v>11.783226869977334</v>
      </c>
      <c r="M58" s="559">
        <f t="shared" si="4"/>
        <v>10.656648826677646</v>
      </c>
      <c r="N58" s="559">
        <f t="shared" si="4"/>
        <v>11.960383782110801</v>
      </c>
      <c r="O58" s="559">
        <f t="shared" si="4"/>
        <v>14.297758032854635</v>
      </c>
      <c r="P58" s="559">
        <f t="shared" si="5"/>
        <v>163.71429105370626</v>
      </c>
      <c r="Q58" s="613">
        <f t="shared" si="6"/>
        <v>13.642857587808855</v>
      </c>
      <c r="R58" s="1">
        <f t="shared" si="7"/>
        <v>13.642857587808855</v>
      </c>
    </row>
    <row r="59" spans="2:18">
      <c r="B59" s="187">
        <v>11</v>
      </c>
      <c r="C59" s="619" t="s">
        <v>1540</v>
      </c>
      <c r="D59" s="559">
        <f t="shared" si="4"/>
        <v>7.1550732163256825</v>
      </c>
      <c r="E59" s="559">
        <f t="shared" si="4"/>
        <v>8.7822895064288673</v>
      </c>
      <c r="F59" s="559">
        <f t="shared" si="4"/>
        <v>8.443445848001657</v>
      </c>
      <c r="G59" s="559">
        <f t="shared" si="4"/>
        <v>7.3397271599834637</v>
      </c>
      <c r="H59" s="559">
        <f t="shared" si="4"/>
        <v>7.7504649721016738</v>
      </c>
      <c r="I59" s="559">
        <f t="shared" si="4"/>
        <v>8.0666253101736967</v>
      </c>
      <c r="J59" s="559">
        <f t="shared" si="4"/>
        <v>8.4427490411526911</v>
      </c>
      <c r="K59" s="559">
        <f t="shared" si="4"/>
        <v>7.6592998037798203</v>
      </c>
      <c r="L59" s="559">
        <f t="shared" si="4"/>
        <v>6.5028642077065726</v>
      </c>
      <c r="M59" s="559">
        <f t="shared" si="4"/>
        <v>6.5940304652120219</v>
      </c>
      <c r="N59" s="559">
        <f t="shared" si="4"/>
        <v>7.6603528319405747</v>
      </c>
      <c r="O59" s="559">
        <f t="shared" si="4"/>
        <v>9.3065399318111375</v>
      </c>
      <c r="P59" s="559">
        <f t="shared" si="5"/>
        <v>93.70346229461785</v>
      </c>
      <c r="Q59" s="613">
        <f t="shared" si="6"/>
        <v>7.8086218578848205</v>
      </c>
      <c r="R59" s="1">
        <f t="shared" si="7"/>
        <v>7.8086218578848214</v>
      </c>
    </row>
    <row r="60" spans="2:18">
      <c r="B60" s="194">
        <v>12</v>
      </c>
      <c r="C60" s="619" t="s">
        <v>1541</v>
      </c>
      <c r="D60" s="559">
        <f t="shared" si="4"/>
        <v>6.6076435766953994</v>
      </c>
      <c r="E60" s="559">
        <f t="shared" si="4"/>
        <v>7.4623807548734957</v>
      </c>
      <c r="F60" s="559">
        <f t="shared" si="4"/>
        <v>6.4831227997515013</v>
      </c>
      <c r="G60" s="559">
        <f t="shared" si="4"/>
        <v>5.1966721785861925</v>
      </c>
      <c r="H60" s="559">
        <f t="shared" si="4"/>
        <v>5.0613349865674726</v>
      </c>
      <c r="I60" s="559">
        <f t="shared" si="4"/>
        <v>7.2227667493796526</v>
      </c>
      <c r="J60" s="559">
        <f t="shared" si="4"/>
        <v>4.2022183062091845</v>
      </c>
      <c r="K60" s="559">
        <f t="shared" si="4"/>
        <v>6.499617887018486</v>
      </c>
      <c r="L60" s="559">
        <f t="shared" si="4"/>
        <v>4.0146301256954455</v>
      </c>
      <c r="M60" s="559">
        <f t="shared" si="4"/>
        <v>4.0386167146974064</v>
      </c>
      <c r="N60" s="559">
        <f t="shared" si="4"/>
        <v>4.6160321881770354</v>
      </c>
      <c r="O60" s="559">
        <f t="shared" si="4"/>
        <v>5.4577745634879635</v>
      </c>
      <c r="P60" s="559">
        <f t="shared" si="5"/>
        <v>66.862810831139242</v>
      </c>
      <c r="Q60" s="613">
        <f t="shared" si="6"/>
        <v>5.5719009025949369</v>
      </c>
      <c r="R60" s="1">
        <f t="shared" si="7"/>
        <v>5.5719009025949369</v>
      </c>
    </row>
    <row r="61" spans="2:18">
      <c r="B61" s="187">
        <v>13</v>
      </c>
      <c r="C61" s="619" t="s">
        <v>1525</v>
      </c>
      <c r="D61" s="559">
        <f t="shared" si="4"/>
        <v>1.2046941530792399</v>
      </c>
      <c r="E61" s="559">
        <f t="shared" si="4"/>
        <v>1.2360016590626297</v>
      </c>
      <c r="F61" s="559">
        <f t="shared" si="4"/>
        <v>1.2714847794574446</v>
      </c>
      <c r="G61" s="559">
        <f t="shared" si="4"/>
        <v>1.1616370400992146</v>
      </c>
      <c r="H61" s="559">
        <f t="shared" si="4"/>
        <v>1.3019218846869189</v>
      </c>
      <c r="I61" s="559">
        <f t="shared" si="4"/>
        <v>1.424731182795699</v>
      </c>
      <c r="J61" s="559">
        <f t="shared" si="4"/>
        <v>1.1361044884420028</v>
      </c>
      <c r="K61" s="559">
        <f t="shared" si="4"/>
        <v>0.87369616854280685</v>
      </c>
      <c r="L61" s="559">
        <f t="shared" si="4"/>
        <v>0.89841335256542343</v>
      </c>
      <c r="M61" s="559">
        <f t="shared" si="4"/>
        <v>0.82132564841498557</v>
      </c>
      <c r="N61" s="559">
        <f t="shared" si="4"/>
        <v>0.92437841741462923</v>
      </c>
      <c r="O61" s="559">
        <f t="shared" si="4"/>
        <v>1.0786238247752866</v>
      </c>
      <c r="P61" s="559">
        <f t="shared" si="5"/>
        <v>13.333012599336282</v>
      </c>
      <c r="Q61" s="613">
        <f t="shared" si="6"/>
        <v>1.1110843832780235</v>
      </c>
      <c r="R61" s="1">
        <f t="shared" si="7"/>
        <v>1.1110843832780235</v>
      </c>
    </row>
    <row r="62" spans="2:18">
      <c r="B62" s="187">
        <v>14</v>
      </c>
      <c r="C62" s="619" t="s">
        <v>1542</v>
      </c>
      <c r="D62" s="559">
        <f t="shared" si="4"/>
        <v>0.68110914944438683</v>
      </c>
      <c r="E62" s="559">
        <f t="shared" si="4"/>
        <v>0.71868519286603072</v>
      </c>
      <c r="F62" s="559">
        <f t="shared" si="4"/>
        <v>0.78165251604887143</v>
      </c>
      <c r="G62" s="559">
        <f t="shared" si="4"/>
        <v>0.6033898305084745</v>
      </c>
      <c r="H62" s="559">
        <f t="shared" si="4"/>
        <v>0.56271957015912377</v>
      </c>
      <c r="I62" s="559">
        <f t="shared" si="4"/>
        <v>0.58413978494623653</v>
      </c>
      <c r="J62" s="559">
        <f t="shared" si="4"/>
        <v>0.64106976262050375</v>
      </c>
      <c r="K62" s="559">
        <f t="shared" si="4"/>
        <v>0.54687596819167617</v>
      </c>
      <c r="L62" s="559">
        <f t="shared" si="4"/>
        <v>0.53119719760972595</v>
      </c>
      <c r="M62" s="559">
        <f t="shared" si="4"/>
        <v>0.5089954713874022</v>
      </c>
      <c r="N62" s="559">
        <f t="shared" si="4"/>
        <v>0.54505313112555442</v>
      </c>
      <c r="O62" s="559">
        <f t="shared" si="4"/>
        <v>0.66992457898543245</v>
      </c>
      <c r="P62" s="559">
        <f t="shared" si="5"/>
        <v>7.3748121538934175</v>
      </c>
      <c r="Q62" s="613">
        <f t="shared" si="6"/>
        <v>0.61456767949111812</v>
      </c>
      <c r="R62" s="1">
        <f t="shared" si="7"/>
        <v>0.61456767949111824</v>
      </c>
    </row>
    <row r="63" spans="2:18">
      <c r="B63" s="346">
        <v>15</v>
      </c>
      <c r="C63" s="622" t="s">
        <v>1543</v>
      </c>
      <c r="D63" s="559" t="s">
        <v>1544</v>
      </c>
      <c r="E63" s="559" t="s">
        <v>1544</v>
      </c>
      <c r="F63" s="559" t="s">
        <v>1544</v>
      </c>
      <c r="G63" s="559" t="s">
        <v>1544</v>
      </c>
      <c r="H63" s="559" t="s">
        <v>1544</v>
      </c>
      <c r="I63" s="559" t="s">
        <v>1544</v>
      </c>
      <c r="J63" s="559" t="s">
        <v>1544</v>
      </c>
      <c r="K63" s="559">
        <f>+(K25+K44)/2</f>
        <v>29.495714138180315</v>
      </c>
      <c r="L63" s="559">
        <f>+(L25+L44)/2</f>
        <v>24.051390892231609</v>
      </c>
      <c r="M63" s="559">
        <f>+(M25+M44)/2</f>
        <v>25.040654590366408</v>
      </c>
      <c r="N63" s="559">
        <f>+(N25+N44)/2</f>
        <v>26.669183947178375</v>
      </c>
      <c r="O63" s="559">
        <f>+(O25+O44)/2</f>
        <v>29.390432895960327</v>
      </c>
      <c r="P63" s="559">
        <f t="shared" si="5"/>
        <v>134.64737646391703</v>
      </c>
      <c r="Q63" s="613">
        <f t="shared" si="6"/>
        <v>26.929475292783405</v>
      </c>
      <c r="R63" s="1">
        <f t="shared" si="7"/>
        <v>26.929475292783408</v>
      </c>
    </row>
    <row r="64" spans="2:18">
      <c r="C64" s="7"/>
      <c r="G64" s="7"/>
      <c r="I64" s="8"/>
      <c r="L64" s="8"/>
    </row>
    <row r="65" spans="2:17">
      <c r="B65" s="8" t="s">
        <v>496</v>
      </c>
      <c r="C65" s="7"/>
      <c r="G65" s="7"/>
      <c r="I65" s="8"/>
      <c r="L65" s="8"/>
    </row>
    <row r="66" spans="2:17">
      <c r="C66" s="7"/>
      <c r="G66" s="7"/>
      <c r="I66" s="8"/>
      <c r="L66" s="8"/>
    </row>
    <row r="67" spans="2:17">
      <c r="B67" s="8" t="s">
        <v>492</v>
      </c>
      <c r="C67" s="7"/>
      <c r="G67" s="7"/>
      <c r="I67" s="8"/>
      <c r="L67" s="8"/>
    </row>
    <row r="68" spans="2:17">
      <c r="C68" s="7"/>
      <c r="G68" s="7"/>
      <c r="I68" s="8"/>
      <c r="L68" s="8"/>
      <c r="P68" s="7" t="s">
        <v>493</v>
      </c>
    </row>
    <row r="69" spans="2:17">
      <c r="B69" s="193" t="s">
        <v>2</v>
      </c>
      <c r="C69" s="193" t="s">
        <v>57</v>
      </c>
      <c r="D69" s="183" t="s">
        <v>470</v>
      </c>
      <c r="E69" s="183" t="s">
        <v>471</v>
      </c>
      <c r="F69" s="183" t="s">
        <v>472</v>
      </c>
      <c r="G69" s="183" t="s">
        <v>473</v>
      </c>
      <c r="H69" s="183" t="s">
        <v>474</v>
      </c>
      <c r="I69" s="183" t="s">
        <v>475</v>
      </c>
      <c r="J69" s="183" t="s">
        <v>476</v>
      </c>
      <c r="K69" s="183" t="s">
        <v>477</v>
      </c>
      <c r="L69" s="183" t="s">
        <v>478</v>
      </c>
      <c r="M69" s="183" t="s">
        <v>479</v>
      </c>
      <c r="N69" s="183" t="s">
        <v>480</v>
      </c>
      <c r="O69" s="183" t="s">
        <v>481</v>
      </c>
      <c r="P69" s="183" t="s">
        <v>235</v>
      </c>
    </row>
    <row r="70" spans="2:17" s="9" customFormat="1">
      <c r="B70" s="194">
        <v>1</v>
      </c>
      <c r="C70" s="606" t="s">
        <v>1512</v>
      </c>
      <c r="D70" s="559">
        <v>23828.224759142235</v>
      </c>
      <c r="E70" s="559">
        <v>23609.251814328542</v>
      </c>
      <c r="F70" s="559">
        <v>23112.126503525509</v>
      </c>
      <c r="G70" s="559">
        <v>20533.157620279359</v>
      </c>
      <c r="H70" s="559">
        <v>20569.173071354708</v>
      </c>
      <c r="I70" s="186"/>
      <c r="J70" s="291"/>
      <c r="K70" s="291"/>
      <c r="L70" s="291"/>
      <c r="M70" s="291"/>
      <c r="N70" s="291"/>
      <c r="O70" s="291"/>
      <c r="P70" s="186"/>
      <c r="Q70" s="613">
        <f>AVERAGE(D70:H70)</f>
        <v>22330.38675372607</v>
      </c>
    </row>
    <row r="71" spans="2:17" s="9" customFormat="1">
      <c r="B71" s="194">
        <v>2</v>
      </c>
      <c r="C71" s="606" t="s">
        <v>1533</v>
      </c>
      <c r="D71" s="559">
        <v>1007.7424220449601</v>
      </c>
      <c r="E71" s="559">
        <v>957.45944381267441</v>
      </c>
      <c r="F71" s="559">
        <v>1042.5326835338033</v>
      </c>
      <c r="G71" s="559">
        <v>857.41781686497666</v>
      </c>
      <c r="H71" s="559">
        <v>835.49178903826271</v>
      </c>
      <c r="I71" s="186"/>
      <c r="J71" s="291"/>
      <c r="K71" s="291"/>
      <c r="L71" s="291"/>
      <c r="M71" s="291"/>
      <c r="N71" s="291"/>
      <c r="O71" s="291"/>
      <c r="P71" s="186"/>
      <c r="Q71" s="613">
        <f t="shared" ref="Q71:Q86" si="8">AVERAGE(D71:H71)</f>
        <v>940.12883105893548</v>
      </c>
    </row>
    <row r="72" spans="2:17" s="9" customFormat="1">
      <c r="B72" s="194">
        <v>3</v>
      </c>
      <c r="C72" s="606" t="s">
        <v>1534</v>
      </c>
      <c r="D72" s="559">
        <v>1779.3012327773747</v>
      </c>
      <c r="E72" s="559">
        <v>1713.5089424170371</v>
      </c>
      <c r="F72" s="559">
        <v>1953.6382413936126</v>
      </c>
      <c r="G72" s="559">
        <v>1561.3480393171235</v>
      </c>
      <c r="H72" s="559">
        <v>1506.2764012409514</v>
      </c>
      <c r="I72" s="186"/>
      <c r="J72" s="291"/>
      <c r="K72" s="291"/>
      <c r="L72" s="291"/>
      <c r="M72" s="291"/>
      <c r="N72" s="291"/>
      <c r="O72" s="291"/>
      <c r="P72" s="186"/>
      <c r="Q72" s="613">
        <f t="shared" si="8"/>
        <v>1702.8145714292198</v>
      </c>
    </row>
    <row r="73" spans="2:17" s="9" customFormat="1">
      <c r="B73" s="194">
        <v>4</v>
      </c>
      <c r="C73" s="606" t="s">
        <v>1515</v>
      </c>
      <c r="D73" s="559">
        <v>876.53094374805755</v>
      </c>
      <c r="E73" s="559">
        <v>862.12058306626693</v>
      </c>
      <c r="F73" s="559">
        <v>973.10526752384897</v>
      </c>
      <c r="G73" s="559">
        <v>715.15099844800829</v>
      </c>
      <c r="H73" s="559">
        <v>690.4385935884178</v>
      </c>
      <c r="I73" s="559"/>
      <c r="J73" s="610"/>
      <c r="K73" s="610"/>
      <c r="L73" s="610"/>
      <c r="M73" s="610"/>
      <c r="N73" s="610"/>
      <c r="O73" s="610"/>
      <c r="P73" s="559"/>
      <c r="Q73" s="613">
        <f t="shared" si="8"/>
        <v>823.46927727491982</v>
      </c>
    </row>
    <row r="74" spans="2:17" s="9" customFormat="1">
      <c r="B74" s="194">
        <v>5</v>
      </c>
      <c r="C74" s="606" t="s">
        <v>1535</v>
      </c>
      <c r="D74" s="559">
        <v>492.67013363721122</v>
      </c>
      <c r="E74" s="559">
        <v>474.0128605396464</v>
      </c>
      <c r="F74" s="559">
        <v>482.34143508917458</v>
      </c>
      <c r="G74" s="559">
        <v>488.874536989136</v>
      </c>
      <c r="H74" s="559">
        <v>484.5250465356774</v>
      </c>
      <c r="I74" s="559"/>
      <c r="J74" s="610"/>
      <c r="K74" s="610"/>
      <c r="L74" s="610"/>
      <c r="M74" s="610"/>
      <c r="N74" s="610"/>
      <c r="O74" s="610"/>
      <c r="P74" s="559"/>
      <c r="Q74" s="613">
        <f t="shared" si="8"/>
        <v>484.48480255816912</v>
      </c>
    </row>
    <row r="75" spans="2:17" s="9" customFormat="1">
      <c r="B75" s="194">
        <v>6</v>
      </c>
      <c r="C75" s="606" t="s">
        <v>1536</v>
      </c>
      <c r="D75" s="559">
        <v>10.739873614420388</v>
      </c>
      <c r="E75" s="559">
        <v>10.382259898687066</v>
      </c>
      <c r="F75" s="559">
        <v>10.749979261717128</v>
      </c>
      <c r="G75" s="559">
        <v>8.4270253491981375</v>
      </c>
      <c r="H75" s="559">
        <v>8.3379524301964842</v>
      </c>
      <c r="I75" s="559"/>
      <c r="J75" s="610"/>
      <c r="K75" s="610"/>
      <c r="L75" s="610"/>
      <c r="M75" s="610"/>
      <c r="N75" s="610"/>
      <c r="O75" s="610"/>
      <c r="P75" s="559"/>
      <c r="Q75" s="613">
        <f t="shared" si="8"/>
        <v>9.7274181108438391</v>
      </c>
    </row>
    <row r="76" spans="2:17" s="9" customFormat="1">
      <c r="B76" s="194">
        <v>7</v>
      </c>
      <c r="C76" s="606" t="s">
        <v>1537</v>
      </c>
      <c r="D76" s="559">
        <v>4.9763596809282085</v>
      </c>
      <c r="E76" s="559">
        <v>5.0507598469967947</v>
      </c>
      <c r="F76" s="559">
        <v>4.929489838241393</v>
      </c>
      <c r="G76" s="559">
        <v>3.9930470770822555</v>
      </c>
      <c r="H76" s="559">
        <v>3.9909410548086868</v>
      </c>
      <c r="I76" s="559"/>
      <c r="J76" s="610"/>
      <c r="K76" s="610"/>
      <c r="L76" s="610"/>
      <c r="M76" s="610"/>
      <c r="N76" s="610"/>
      <c r="O76" s="610"/>
      <c r="P76" s="559"/>
      <c r="Q76" s="613">
        <f t="shared" si="8"/>
        <v>4.5881194996114676</v>
      </c>
    </row>
    <row r="77" spans="2:17" s="9" customFormat="1">
      <c r="B77" s="194">
        <v>8</v>
      </c>
      <c r="C77" s="606" t="s">
        <v>1538</v>
      </c>
      <c r="D77" s="559">
        <v>5.3014399668496832</v>
      </c>
      <c r="E77" s="559">
        <v>5.4171404941589989</v>
      </c>
      <c r="F77" s="559">
        <v>5.400165906262961</v>
      </c>
      <c r="G77" s="559">
        <v>3.9806725297465078</v>
      </c>
      <c r="H77" s="559">
        <v>4.6136091003102377</v>
      </c>
      <c r="I77" s="559"/>
      <c r="J77" s="610"/>
      <c r="K77" s="610"/>
      <c r="L77" s="610"/>
      <c r="M77" s="610"/>
      <c r="N77" s="610"/>
      <c r="O77" s="610"/>
      <c r="P77" s="559"/>
      <c r="Q77" s="613">
        <f t="shared" si="8"/>
        <v>4.9426055994656775</v>
      </c>
    </row>
    <row r="78" spans="2:17" s="9" customFormat="1">
      <c r="B78" s="194">
        <v>9</v>
      </c>
      <c r="C78" s="606" t="s">
        <v>1539</v>
      </c>
      <c r="D78" s="559">
        <v>6.5137470216512998</v>
      </c>
      <c r="E78" s="559">
        <v>6.6005582549364208</v>
      </c>
      <c r="F78" s="559">
        <v>8.8130651182082129</v>
      </c>
      <c r="G78" s="559">
        <v>10.598282462493533</v>
      </c>
      <c r="H78" s="559">
        <v>9.1325749741468467</v>
      </c>
      <c r="I78" s="559"/>
      <c r="J78" s="610"/>
      <c r="K78" s="610"/>
      <c r="L78" s="610"/>
      <c r="M78" s="610"/>
      <c r="N78" s="610"/>
      <c r="O78" s="610"/>
      <c r="P78" s="559"/>
      <c r="Q78" s="613">
        <f t="shared" si="8"/>
        <v>8.3316455662872642</v>
      </c>
    </row>
    <row r="79" spans="2:17" s="9" customFormat="1">
      <c r="B79" s="194">
        <v>10</v>
      </c>
      <c r="C79" s="606" t="s">
        <v>1524</v>
      </c>
      <c r="D79" s="559">
        <v>14.761835698746502</v>
      </c>
      <c r="E79" s="559">
        <v>14.749508942417037</v>
      </c>
      <c r="F79" s="559">
        <v>16.637080049771878</v>
      </c>
      <c r="G79" s="559">
        <v>12.661769270563891</v>
      </c>
      <c r="H79" s="559">
        <v>11.894105480868665</v>
      </c>
      <c r="I79" s="559"/>
      <c r="J79" s="610"/>
      <c r="K79" s="610"/>
      <c r="L79" s="610"/>
      <c r="M79" s="610"/>
      <c r="N79" s="610"/>
      <c r="O79" s="610"/>
      <c r="P79" s="559"/>
      <c r="Q79" s="613">
        <f t="shared" si="8"/>
        <v>14.140859888473594</v>
      </c>
    </row>
    <row r="80" spans="2:17" s="9" customFormat="1">
      <c r="B80" s="194">
        <v>11</v>
      </c>
      <c r="C80" s="606" t="s">
        <v>1540</v>
      </c>
      <c r="D80" s="559">
        <v>10.963472495597223</v>
      </c>
      <c r="E80" s="559">
        <v>10.820427995451254</v>
      </c>
      <c r="F80" s="559">
        <v>9.8502695976773111</v>
      </c>
      <c r="G80" s="559">
        <v>6.3287325400931191</v>
      </c>
      <c r="H80" s="559">
        <v>6.2121199586349531</v>
      </c>
      <c r="I80" s="559"/>
      <c r="J80" s="610"/>
      <c r="K80" s="610"/>
      <c r="L80" s="610"/>
      <c r="M80" s="610"/>
      <c r="N80" s="610"/>
      <c r="O80" s="610"/>
      <c r="P80" s="559"/>
      <c r="Q80" s="613">
        <f t="shared" si="8"/>
        <v>8.8350045174907716</v>
      </c>
    </row>
    <row r="81" spans="2:17" s="9" customFormat="1">
      <c r="B81" s="194">
        <v>12</v>
      </c>
      <c r="C81" s="606" t="s">
        <v>1541</v>
      </c>
      <c r="D81" s="559">
        <v>6.5577955039883973</v>
      </c>
      <c r="E81" s="559">
        <v>6.5793032151349111</v>
      </c>
      <c r="F81" s="559">
        <v>5.9480713396930733</v>
      </c>
      <c r="G81" s="559">
        <v>4.3631246766683915</v>
      </c>
      <c r="H81" s="559">
        <v>4.4445087900723887</v>
      </c>
      <c r="I81" s="559"/>
      <c r="J81" s="610"/>
      <c r="K81" s="610"/>
      <c r="L81" s="610"/>
      <c r="M81" s="610"/>
      <c r="N81" s="610"/>
      <c r="O81" s="610"/>
      <c r="P81" s="559"/>
      <c r="Q81" s="613">
        <f t="shared" si="8"/>
        <v>5.5785607051114328</v>
      </c>
    </row>
    <row r="82" spans="2:17" s="9" customFormat="1">
      <c r="B82" s="194">
        <v>13</v>
      </c>
      <c r="C82" s="606" t="s">
        <v>1525</v>
      </c>
      <c r="D82" s="559">
        <v>1.0027970579094581</v>
      </c>
      <c r="E82" s="559">
        <v>0.60374237568489608</v>
      </c>
      <c r="F82" s="559">
        <v>0.96225632517627546</v>
      </c>
      <c r="G82" s="559">
        <v>0.80289705121572685</v>
      </c>
      <c r="H82" s="559">
        <v>0.91416752843846949</v>
      </c>
      <c r="I82" s="559"/>
      <c r="J82" s="610"/>
      <c r="K82" s="610"/>
      <c r="L82" s="610"/>
      <c r="M82" s="610"/>
      <c r="N82" s="610"/>
      <c r="O82" s="610"/>
      <c r="P82" s="559"/>
      <c r="Q82" s="613">
        <f t="shared" si="8"/>
        <v>0.85717206768496523</v>
      </c>
    </row>
    <row r="83" spans="2:17" s="9" customFormat="1">
      <c r="B83" s="194">
        <v>14</v>
      </c>
      <c r="C83" s="606" t="s">
        <v>1542</v>
      </c>
      <c r="D83" s="559">
        <v>0.63300528333160677</v>
      </c>
      <c r="E83" s="559">
        <v>0.64339915227954103</v>
      </c>
      <c r="F83" s="559">
        <v>0.62285358772293653</v>
      </c>
      <c r="G83" s="559">
        <v>0.42321779617175376</v>
      </c>
      <c r="H83" s="559">
        <v>0.43871768355739404</v>
      </c>
      <c r="I83" s="559"/>
      <c r="J83" s="610"/>
      <c r="K83" s="610"/>
      <c r="L83" s="610"/>
      <c r="M83" s="610"/>
      <c r="N83" s="610"/>
      <c r="O83" s="610"/>
      <c r="P83" s="559"/>
      <c r="Q83" s="613">
        <f t="shared" si="8"/>
        <v>0.55223870061264646</v>
      </c>
    </row>
    <row r="84" spans="2:17" s="9" customFormat="1">
      <c r="B84" s="194">
        <v>15</v>
      </c>
      <c r="C84" s="606" t="s">
        <v>1543</v>
      </c>
      <c r="D84" s="559">
        <v>23.546669429192999</v>
      </c>
      <c r="E84" s="559">
        <v>30.1926599813915</v>
      </c>
      <c r="F84" s="559">
        <v>31.095810866860223</v>
      </c>
      <c r="G84" s="559">
        <v>13.432343507501292</v>
      </c>
      <c r="H84" s="559">
        <v>17.222750775594623</v>
      </c>
      <c r="I84" s="559"/>
      <c r="J84" s="610"/>
      <c r="K84" s="610"/>
      <c r="L84" s="610"/>
      <c r="M84" s="610"/>
      <c r="N84" s="610"/>
      <c r="O84" s="610"/>
      <c r="P84" s="559"/>
      <c r="Q84" s="613">
        <f t="shared" si="8"/>
        <v>23.098046912108124</v>
      </c>
    </row>
    <row r="85" spans="2:17" s="9" customFormat="1">
      <c r="B85" s="194">
        <v>16</v>
      </c>
      <c r="C85" s="606" t="s">
        <v>1527</v>
      </c>
      <c r="D85" s="559">
        <v>0</v>
      </c>
      <c r="E85" s="559">
        <v>0</v>
      </c>
      <c r="F85" s="559">
        <v>0</v>
      </c>
      <c r="G85" s="559">
        <v>13.988618727366786</v>
      </c>
      <c r="H85" s="559">
        <v>14.064115822130299</v>
      </c>
      <c r="I85" s="559"/>
      <c r="J85" s="610"/>
      <c r="K85" s="610"/>
      <c r="L85" s="610"/>
      <c r="M85" s="610"/>
      <c r="N85" s="610"/>
      <c r="O85" s="610"/>
      <c r="P85" s="559"/>
      <c r="Q85" s="613">
        <f t="shared" si="8"/>
        <v>5.6105469098994174</v>
      </c>
    </row>
    <row r="86" spans="2:17" s="9" customFormat="1">
      <c r="B86" s="194">
        <v>17</v>
      </c>
      <c r="C86" s="606" t="s">
        <v>1528</v>
      </c>
      <c r="D86" s="559">
        <v>0</v>
      </c>
      <c r="E86" s="559">
        <v>0</v>
      </c>
      <c r="F86" s="559">
        <v>0</v>
      </c>
      <c r="G86" s="559">
        <v>9.891360579410243</v>
      </c>
      <c r="H86" s="559">
        <v>9.7207859358841784</v>
      </c>
      <c r="I86" s="186"/>
      <c r="J86" s="291"/>
      <c r="K86" s="291"/>
      <c r="L86" s="291"/>
      <c r="M86" s="291"/>
      <c r="N86" s="291"/>
      <c r="O86" s="291"/>
      <c r="P86" s="186"/>
      <c r="Q86" s="613">
        <f t="shared" si="8"/>
        <v>3.9224293030588839</v>
      </c>
    </row>
    <row r="87" spans="2:17" s="9" customFormat="1"/>
    <row r="88" spans="2:17" s="9" customFormat="1">
      <c r="B88" s="8" t="s">
        <v>494</v>
      </c>
    </row>
    <row r="89" spans="2:17" s="9" customFormat="1">
      <c r="P89" s="7" t="s">
        <v>493</v>
      </c>
    </row>
    <row r="90" spans="2:17">
      <c r="B90" s="193" t="s">
        <v>2</v>
      </c>
      <c r="C90" s="182" t="s">
        <v>57</v>
      </c>
      <c r="D90" s="183" t="s">
        <v>470</v>
      </c>
      <c r="E90" s="183" t="s">
        <v>471</v>
      </c>
      <c r="F90" s="183" t="s">
        <v>472</v>
      </c>
      <c r="G90" s="183" t="s">
        <v>473</v>
      </c>
      <c r="H90" s="183" t="s">
        <v>474</v>
      </c>
      <c r="I90" s="183" t="s">
        <v>475</v>
      </c>
      <c r="J90" s="183" t="s">
        <v>476</v>
      </c>
      <c r="K90" s="183" t="s">
        <v>477</v>
      </c>
      <c r="L90" s="183" t="s">
        <v>478</v>
      </c>
      <c r="M90" s="183" t="s">
        <v>479</v>
      </c>
      <c r="N90" s="183" t="s">
        <v>480</v>
      </c>
      <c r="O90" s="183" t="s">
        <v>481</v>
      </c>
      <c r="P90" s="183" t="s">
        <v>235</v>
      </c>
    </row>
    <row r="91" spans="2:17" s="9" customFormat="1">
      <c r="B91" s="187">
        <v>1</v>
      </c>
      <c r="C91" s="606" t="s">
        <v>1512</v>
      </c>
      <c r="D91" s="559">
        <v>23828.224759142235</v>
      </c>
      <c r="E91" s="559">
        <v>23611.241600330814</v>
      </c>
      <c r="F91" s="559">
        <v>23328.901451679802</v>
      </c>
      <c r="G91" s="559">
        <v>20533.157620279359</v>
      </c>
      <c r="H91" s="559">
        <v>20668.302254395036</v>
      </c>
      <c r="I91" s="186"/>
      <c r="J91" s="291"/>
      <c r="K91" s="291"/>
      <c r="L91" s="291"/>
      <c r="M91" s="291"/>
      <c r="N91" s="291"/>
      <c r="O91" s="291"/>
      <c r="P91" s="186"/>
      <c r="Q91" s="613">
        <f>AVERAGE(D91:H91)</f>
        <v>22393.965537165448</v>
      </c>
    </row>
    <row r="92" spans="2:17" s="9" customFormat="1">
      <c r="B92" s="187">
        <v>2</v>
      </c>
      <c r="C92" s="606" t="s">
        <v>1533</v>
      </c>
      <c r="D92" s="559">
        <v>1025.8300631927898</v>
      </c>
      <c r="E92" s="559">
        <v>1041.4704021503153</v>
      </c>
      <c r="F92" s="559">
        <v>1056.4356698465367</v>
      </c>
      <c r="G92" s="559">
        <v>1005.9826176927056</v>
      </c>
      <c r="H92" s="559">
        <v>990.21617373319543</v>
      </c>
      <c r="I92" s="186"/>
      <c r="J92" s="291"/>
      <c r="K92" s="291"/>
      <c r="L92" s="291"/>
      <c r="M92" s="291"/>
      <c r="N92" s="291"/>
      <c r="O92" s="291"/>
      <c r="P92" s="186"/>
      <c r="Q92" s="613">
        <f t="shared" ref="Q92:Q107" si="9">AVERAGE(D92:H92)</f>
        <v>1023.9869853231087</v>
      </c>
    </row>
    <row r="93" spans="2:17" s="9" customFormat="1">
      <c r="B93" s="194">
        <v>3</v>
      </c>
      <c r="C93" s="606" t="s">
        <v>1534</v>
      </c>
      <c r="D93" s="559">
        <v>1879.8097586242618</v>
      </c>
      <c r="E93" s="559">
        <v>2077.4941383231676</v>
      </c>
      <c r="F93" s="559">
        <v>2049.4456242223141</v>
      </c>
      <c r="G93" s="559">
        <v>1737.6124987066735</v>
      </c>
      <c r="H93" s="559">
        <v>1732.4276732161325</v>
      </c>
      <c r="I93" s="186"/>
      <c r="J93" s="291"/>
      <c r="K93" s="291"/>
      <c r="L93" s="291"/>
      <c r="M93" s="291"/>
      <c r="N93" s="291"/>
      <c r="O93" s="291"/>
      <c r="P93" s="186"/>
      <c r="Q93" s="613">
        <f t="shared" si="9"/>
        <v>1895.3579386185097</v>
      </c>
    </row>
    <row r="94" spans="2:17" s="9" customFormat="1">
      <c r="B94" s="187">
        <v>4</v>
      </c>
      <c r="C94" s="606" t="s">
        <v>1515</v>
      </c>
      <c r="D94" s="559">
        <v>926.50757277530295</v>
      </c>
      <c r="E94" s="559">
        <v>996.36691822598982</v>
      </c>
      <c r="F94" s="559">
        <v>995.74458730817082</v>
      </c>
      <c r="G94" s="559">
        <v>891.62938437661671</v>
      </c>
      <c r="H94" s="559">
        <v>844.90448810754913</v>
      </c>
      <c r="I94" s="559"/>
      <c r="J94" s="610"/>
      <c r="K94" s="610"/>
      <c r="L94" s="610"/>
      <c r="M94" s="610"/>
      <c r="N94" s="610"/>
      <c r="O94" s="610"/>
      <c r="P94" s="559"/>
      <c r="Q94" s="613">
        <f t="shared" si="9"/>
        <v>931.03059015872589</v>
      </c>
    </row>
    <row r="95" spans="2:17" s="9" customFormat="1">
      <c r="B95" s="187">
        <v>5</v>
      </c>
      <c r="C95" s="606" t="s">
        <v>1535</v>
      </c>
      <c r="D95" s="559">
        <v>538.95012949342174</v>
      </c>
      <c r="E95" s="559">
        <v>568.87067093972905</v>
      </c>
      <c r="F95" s="559">
        <v>573.17897138116962</v>
      </c>
      <c r="G95" s="559">
        <v>536.00455250905327</v>
      </c>
      <c r="H95" s="559">
        <v>558.47023784901751</v>
      </c>
      <c r="I95" s="559"/>
      <c r="J95" s="610"/>
      <c r="K95" s="610"/>
      <c r="L95" s="610"/>
      <c r="M95" s="610"/>
      <c r="N95" s="610"/>
      <c r="O95" s="610"/>
      <c r="P95" s="559"/>
      <c r="Q95" s="613">
        <f t="shared" si="9"/>
        <v>555.09491243447815</v>
      </c>
    </row>
    <row r="96" spans="2:17" s="9" customFormat="1">
      <c r="B96" s="194">
        <v>6</v>
      </c>
      <c r="C96" s="606" t="s">
        <v>1536</v>
      </c>
      <c r="D96" s="559">
        <v>11.945467730239304</v>
      </c>
      <c r="E96" s="559">
        <v>11.844308901064819</v>
      </c>
      <c r="F96" s="559">
        <v>11.086644545831605</v>
      </c>
      <c r="G96" s="559">
        <v>10.067915157785825</v>
      </c>
      <c r="H96" s="559">
        <v>9.5921406411582222</v>
      </c>
      <c r="I96" s="559"/>
      <c r="J96" s="610"/>
      <c r="K96" s="610"/>
      <c r="L96" s="610"/>
      <c r="M96" s="610"/>
      <c r="N96" s="610"/>
      <c r="O96" s="610"/>
      <c r="P96" s="559"/>
      <c r="Q96" s="613">
        <f t="shared" si="9"/>
        <v>10.907295395215955</v>
      </c>
    </row>
    <row r="97" spans="2:18" s="9" customFormat="1">
      <c r="B97" s="187">
        <v>7</v>
      </c>
      <c r="C97" s="606" t="s">
        <v>1537</v>
      </c>
      <c r="D97" s="559">
        <v>5.3259297627680509</v>
      </c>
      <c r="E97" s="559">
        <v>5.6939108859712597</v>
      </c>
      <c r="F97" s="559">
        <v>5.9469929489838247</v>
      </c>
      <c r="G97" s="559">
        <v>5.2278116916709774</v>
      </c>
      <c r="H97" s="559">
        <v>5.2865356773526369</v>
      </c>
      <c r="I97" s="559"/>
      <c r="J97" s="610"/>
      <c r="K97" s="610"/>
      <c r="L97" s="610"/>
      <c r="M97" s="610"/>
      <c r="N97" s="610"/>
      <c r="O97" s="610"/>
      <c r="P97" s="559"/>
      <c r="Q97" s="613">
        <f t="shared" si="9"/>
        <v>5.4962361933493513</v>
      </c>
    </row>
    <row r="98" spans="2:18" s="9" customFormat="1">
      <c r="B98" s="187">
        <v>8</v>
      </c>
      <c r="C98" s="606" t="s">
        <v>1538</v>
      </c>
      <c r="D98" s="559">
        <v>5.7942608515487413</v>
      </c>
      <c r="E98" s="559">
        <v>5.7986974051483502</v>
      </c>
      <c r="F98" s="559">
        <v>5.6546246370800493</v>
      </c>
      <c r="G98" s="559">
        <v>5.3532540093119501</v>
      </c>
      <c r="H98" s="559">
        <v>5.9820062047569804</v>
      </c>
      <c r="I98" s="559"/>
      <c r="J98" s="610"/>
      <c r="K98" s="610"/>
      <c r="L98" s="610"/>
      <c r="M98" s="610"/>
      <c r="N98" s="610"/>
      <c r="O98" s="610"/>
      <c r="P98" s="559"/>
      <c r="Q98" s="613">
        <f t="shared" si="9"/>
        <v>5.7165686215692144</v>
      </c>
    </row>
    <row r="99" spans="2:18" s="9" customFormat="1">
      <c r="B99" s="194">
        <v>9</v>
      </c>
      <c r="C99" s="606" t="s">
        <v>1539</v>
      </c>
      <c r="D99" s="559">
        <v>6.7373459028281362</v>
      </c>
      <c r="E99" s="559">
        <v>8.5485371653054898</v>
      </c>
      <c r="F99" s="559">
        <v>11.761302364164246</v>
      </c>
      <c r="G99" s="559">
        <v>12.728525607863425</v>
      </c>
      <c r="H99" s="559">
        <v>12.073671147880042</v>
      </c>
      <c r="I99" s="559"/>
      <c r="J99" s="610"/>
      <c r="K99" s="610"/>
      <c r="L99" s="610"/>
      <c r="M99" s="610"/>
      <c r="N99" s="610"/>
      <c r="O99" s="610"/>
      <c r="P99" s="559"/>
      <c r="Q99" s="613">
        <f t="shared" si="9"/>
        <v>10.369876437608267</v>
      </c>
    </row>
    <row r="100" spans="2:18" s="9" customFormat="1">
      <c r="B100" s="187">
        <v>10</v>
      </c>
      <c r="C100" s="606" t="s">
        <v>1524</v>
      </c>
      <c r="D100" s="559">
        <v>16.158292758727857</v>
      </c>
      <c r="E100" s="559">
        <v>18.210689548227023</v>
      </c>
      <c r="F100" s="559">
        <v>18.428038158440479</v>
      </c>
      <c r="G100" s="559">
        <v>15.864252457320228</v>
      </c>
      <c r="H100" s="559">
        <v>15.499482936918303</v>
      </c>
      <c r="I100" s="559"/>
      <c r="J100" s="610"/>
      <c r="K100" s="610"/>
      <c r="L100" s="610"/>
      <c r="M100" s="610"/>
      <c r="N100" s="610"/>
      <c r="O100" s="610"/>
      <c r="P100" s="559"/>
      <c r="Q100" s="613">
        <f t="shared" si="9"/>
        <v>16.832151171926775</v>
      </c>
    </row>
    <row r="101" spans="2:18" s="9" customFormat="1">
      <c r="B101" s="187">
        <v>11</v>
      </c>
      <c r="C101" s="606" t="s">
        <v>1540</v>
      </c>
      <c r="D101" s="559">
        <v>11.146835180772817</v>
      </c>
      <c r="E101" s="559">
        <v>11.221296392019021</v>
      </c>
      <c r="F101" s="559">
        <v>10.441310659477395</v>
      </c>
      <c r="G101" s="559">
        <v>8.6128504914640462</v>
      </c>
      <c r="H101" s="559">
        <v>8.8797518097207853</v>
      </c>
      <c r="I101" s="559"/>
      <c r="J101" s="610"/>
      <c r="K101" s="610"/>
      <c r="L101" s="610"/>
      <c r="M101" s="610"/>
      <c r="N101" s="610"/>
      <c r="O101" s="610"/>
      <c r="P101" s="559"/>
      <c r="Q101" s="613">
        <f t="shared" si="9"/>
        <v>10.060408906690814</v>
      </c>
    </row>
    <row r="102" spans="2:18" s="9" customFormat="1">
      <c r="B102" s="194">
        <v>12</v>
      </c>
      <c r="C102" s="606" t="s">
        <v>1541</v>
      </c>
      <c r="D102" s="559">
        <v>6.9004040194758103</v>
      </c>
      <c r="E102" s="559">
        <v>6.9935697301767803</v>
      </c>
      <c r="F102" s="559">
        <v>6.2722521775197011</v>
      </c>
      <c r="G102" s="559">
        <v>5.6950646663217794</v>
      </c>
      <c r="H102" s="559">
        <v>5.9191726990692866</v>
      </c>
      <c r="I102" s="559"/>
      <c r="J102" s="610"/>
      <c r="K102" s="610"/>
      <c r="L102" s="610"/>
      <c r="M102" s="610"/>
      <c r="N102" s="610"/>
      <c r="O102" s="610"/>
      <c r="P102" s="559"/>
      <c r="Q102" s="613">
        <f t="shared" si="9"/>
        <v>6.3560926585126714</v>
      </c>
    </row>
    <row r="103" spans="2:18" s="9" customFormat="1">
      <c r="B103" s="187">
        <v>13</v>
      </c>
      <c r="C103" s="606" t="s">
        <v>1525</v>
      </c>
      <c r="D103" s="559">
        <v>1.2182741116751268</v>
      </c>
      <c r="E103" s="559">
        <v>1.2281608601261242</v>
      </c>
      <c r="F103" s="559">
        <v>1.2235586893405226</v>
      </c>
      <c r="G103" s="559">
        <v>1.2664252457320226</v>
      </c>
      <c r="H103" s="559">
        <v>1.3071354705274043</v>
      </c>
      <c r="I103" s="559"/>
      <c r="J103" s="610"/>
      <c r="K103" s="610"/>
      <c r="L103" s="610"/>
      <c r="M103" s="610"/>
      <c r="N103" s="610"/>
      <c r="O103" s="610"/>
      <c r="P103" s="559"/>
      <c r="Q103" s="613">
        <f t="shared" si="9"/>
        <v>1.2487108754802401</v>
      </c>
    </row>
    <row r="104" spans="2:18" s="9" customFormat="1">
      <c r="B104" s="187">
        <v>14</v>
      </c>
      <c r="C104" s="606" t="s">
        <v>1542</v>
      </c>
      <c r="D104" s="559">
        <v>0.76900445457370759</v>
      </c>
      <c r="E104" s="559">
        <v>0.74082497673937764</v>
      </c>
      <c r="F104" s="559">
        <v>0.72762339278307753</v>
      </c>
      <c r="G104" s="559">
        <v>0.6879668908432488</v>
      </c>
      <c r="H104" s="559">
        <v>0.68517063081695972</v>
      </c>
      <c r="I104" s="559"/>
      <c r="J104" s="610"/>
      <c r="K104" s="610"/>
      <c r="L104" s="610"/>
      <c r="M104" s="610"/>
      <c r="N104" s="610"/>
      <c r="O104" s="610"/>
      <c r="P104" s="559"/>
      <c r="Q104" s="613">
        <f t="shared" si="9"/>
        <v>0.7221180691512743</v>
      </c>
    </row>
    <row r="105" spans="2:18" s="9" customFormat="1">
      <c r="B105" s="194">
        <v>15</v>
      </c>
      <c r="C105" s="606" t="s">
        <v>1543</v>
      </c>
      <c r="D105" s="559">
        <v>33.507427742670671</v>
      </c>
      <c r="E105" s="559">
        <v>33.522257831076189</v>
      </c>
      <c r="F105" s="559">
        <v>33.671422646204896</v>
      </c>
      <c r="G105" s="559">
        <v>32.82218313502328</v>
      </c>
      <c r="H105" s="559">
        <v>32.780889348500516</v>
      </c>
      <c r="I105" s="559"/>
      <c r="J105" s="610"/>
      <c r="K105" s="610"/>
      <c r="L105" s="610"/>
      <c r="M105" s="610"/>
      <c r="N105" s="610"/>
      <c r="O105" s="610"/>
      <c r="P105" s="559"/>
      <c r="Q105" s="613">
        <f t="shared" si="9"/>
        <v>33.260836140695105</v>
      </c>
    </row>
    <row r="106" spans="2:18" s="9" customFormat="1">
      <c r="B106" s="187">
        <v>16</v>
      </c>
      <c r="C106" s="606" t="s">
        <v>1527</v>
      </c>
      <c r="D106" s="559" t="s">
        <v>1544</v>
      </c>
      <c r="E106" s="559" t="s">
        <v>1544</v>
      </c>
      <c r="F106" s="559" t="s">
        <v>1544</v>
      </c>
      <c r="G106" s="559">
        <v>11.464045525090533</v>
      </c>
      <c r="H106" s="559">
        <v>11.416752843846949</v>
      </c>
      <c r="I106" s="559"/>
      <c r="J106" s="610"/>
      <c r="K106" s="610"/>
      <c r="L106" s="610"/>
      <c r="M106" s="610"/>
      <c r="N106" s="610"/>
      <c r="O106" s="610"/>
      <c r="P106" s="559"/>
      <c r="Q106" s="613">
        <f t="shared" si="9"/>
        <v>11.440399184468742</v>
      </c>
    </row>
    <row r="107" spans="2:18" s="9" customFormat="1">
      <c r="B107" s="187">
        <v>17</v>
      </c>
      <c r="C107" s="606" t="s">
        <v>1528</v>
      </c>
      <c r="D107" s="559" t="s">
        <v>1544</v>
      </c>
      <c r="E107" s="559" t="s">
        <v>1544</v>
      </c>
      <c r="F107" s="559" t="s">
        <v>1544</v>
      </c>
      <c r="G107" s="559">
        <v>16.117868598034143</v>
      </c>
      <c r="H107" s="559">
        <v>16.215098241985523</v>
      </c>
      <c r="I107" s="186"/>
      <c r="J107" s="291"/>
      <c r="K107" s="291"/>
      <c r="L107" s="291"/>
      <c r="M107" s="291"/>
      <c r="N107" s="291"/>
      <c r="O107" s="291"/>
      <c r="P107" s="186"/>
      <c r="Q107" s="613">
        <f t="shared" si="9"/>
        <v>16.166483420009833</v>
      </c>
    </row>
    <row r="109" spans="2:18">
      <c r="B109" s="8" t="s">
        <v>495</v>
      </c>
    </row>
    <row r="110" spans="2:18">
      <c r="B110" s="9"/>
      <c r="C110" s="9"/>
      <c r="D110" s="9"/>
      <c r="E110" s="9"/>
      <c r="F110" s="9"/>
      <c r="G110" s="9"/>
      <c r="H110" s="9"/>
      <c r="I110" s="9"/>
      <c r="J110" s="9"/>
      <c r="K110" s="9"/>
      <c r="L110" s="9"/>
      <c r="M110" s="9"/>
      <c r="N110" s="9"/>
      <c r="O110" s="9"/>
      <c r="P110" s="7" t="s">
        <v>493</v>
      </c>
    </row>
    <row r="111" spans="2:18">
      <c r="B111" s="193" t="s">
        <v>2</v>
      </c>
      <c r="C111" s="182" t="s">
        <v>57</v>
      </c>
      <c r="D111" s="183" t="s">
        <v>470</v>
      </c>
      <c r="E111" s="183" t="s">
        <v>471</v>
      </c>
      <c r="F111" s="183" t="s">
        <v>472</v>
      </c>
      <c r="G111" s="183" t="s">
        <v>473</v>
      </c>
      <c r="H111" s="183" t="s">
        <v>474</v>
      </c>
      <c r="I111" s="183" t="s">
        <v>475</v>
      </c>
      <c r="J111" s="183" t="s">
        <v>476</v>
      </c>
      <c r="K111" s="183" t="s">
        <v>477</v>
      </c>
      <c r="L111" s="183" t="s">
        <v>478</v>
      </c>
      <c r="M111" s="183" t="s">
        <v>479</v>
      </c>
      <c r="N111" s="183" t="s">
        <v>480</v>
      </c>
      <c r="O111" s="183" t="s">
        <v>481</v>
      </c>
      <c r="P111" s="183" t="s">
        <v>235</v>
      </c>
    </row>
    <row r="112" spans="2:18">
      <c r="B112" s="187">
        <v>1</v>
      </c>
      <c r="C112" s="606" t="s">
        <v>1512</v>
      </c>
      <c r="D112" s="559">
        <f t="shared" ref="D112:H126" si="10">+(D70+D91)/2</f>
        <v>23828.224759142235</v>
      </c>
      <c r="E112" s="559">
        <f t="shared" si="10"/>
        <v>23610.246707329679</v>
      </c>
      <c r="F112" s="559">
        <f t="shared" si="10"/>
        <v>23220.513977602655</v>
      </c>
      <c r="G112" s="559">
        <f t="shared" si="10"/>
        <v>20533.157620279359</v>
      </c>
      <c r="H112" s="559">
        <f t="shared" si="10"/>
        <v>20618.737662874872</v>
      </c>
      <c r="I112" s="186"/>
      <c r="J112" s="291"/>
      <c r="K112" s="291"/>
      <c r="L112" s="291"/>
      <c r="M112" s="291"/>
      <c r="N112" s="291"/>
      <c r="O112" s="291"/>
      <c r="P112" s="186"/>
      <c r="Q112" s="613">
        <f>AVERAGE(D112:H112)</f>
        <v>22362.176145445763</v>
      </c>
      <c r="R112" s="608">
        <f>Q112/$Q$129</f>
        <v>0.83888913976556789</v>
      </c>
    </row>
    <row r="113" spans="2:18">
      <c r="B113" s="187">
        <v>2</v>
      </c>
      <c r="C113" s="606" t="s">
        <v>1533</v>
      </c>
      <c r="D113" s="559">
        <f t="shared" si="10"/>
        <v>1016.7862426188749</v>
      </c>
      <c r="E113" s="559">
        <f t="shared" si="10"/>
        <v>999.46492298149485</v>
      </c>
      <c r="F113" s="559">
        <f t="shared" si="10"/>
        <v>1049.48417669017</v>
      </c>
      <c r="G113" s="559">
        <f t="shared" si="10"/>
        <v>931.70021727884114</v>
      </c>
      <c r="H113" s="559">
        <f t="shared" si="10"/>
        <v>912.85398138572907</v>
      </c>
      <c r="I113" s="186"/>
      <c r="J113" s="291"/>
      <c r="K113" s="291"/>
      <c r="L113" s="291"/>
      <c r="M113" s="291"/>
      <c r="N113" s="291"/>
      <c r="O113" s="291"/>
      <c r="P113" s="186"/>
      <c r="Q113" s="613">
        <f t="shared" ref="Q113:Q128" si="11">AVERAGE(D113:H113)</f>
        <v>982.05790819102208</v>
      </c>
      <c r="R113" s="608">
        <f t="shared" ref="R113:R128" si="12">Q113/$Q$129</f>
        <v>3.6840677241965145E-2</v>
      </c>
    </row>
    <row r="114" spans="2:18">
      <c r="B114" s="194">
        <v>3</v>
      </c>
      <c r="C114" s="606" t="s">
        <v>1534</v>
      </c>
      <c r="D114" s="559">
        <f t="shared" si="10"/>
        <v>1829.5554957008183</v>
      </c>
      <c r="E114" s="559">
        <f t="shared" si="10"/>
        <v>1895.5015403701022</v>
      </c>
      <c r="F114" s="559">
        <f t="shared" si="10"/>
        <v>2001.5419328079633</v>
      </c>
      <c r="G114" s="559">
        <f t="shared" si="10"/>
        <v>1649.4802690118986</v>
      </c>
      <c r="H114" s="559">
        <f t="shared" si="10"/>
        <v>1619.352037228542</v>
      </c>
      <c r="I114" s="186"/>
      <c r="J114" s="291"/>
      <c r="K114" s="291"/>
      <c r="L114" s="291"/>
      <c r="M114" s="291"/>
      <c r="N114" s="291"/>
      <c r="O114" s="291"/>
      <c r="P114" s="186"/>
      <c r="Q114" s="613">
        <f t="shared" si="11"/>
        <v>1799.0862550238649</v>
      </c>
      <c r="R114" s="608">
        <f t="shared" si="12"/>
        <v>6.7490476375144506E-2</v>
      </c>
    </row>
    <row r="115" spans="2:18">
      <c r="B115" s="187">
        <v>4</v>
      </c>
      <c r="C115" s="606" t="s">
        <v>1515</v>
      </c>
      <c r="D115" s="559">
        <f t="shared" si="10"/>
        <v>901.51925826168031</v>
      </c>
      <c r="E115" s="559">
        <f t="shared" si="10"/>
        <v>929.24375064612832</v>
      </c>
      <c r="F115" s="559">
        <f t="shared" si="10"/>
        <v>984.42492741600995</v>
      </c>
      <c r="G115" s="559">
        <f t="shared" si="10"/>
        <v>803.39019141231256</v>
      </c>
      <c r="H115" s="559">
        <f t="shared" si="10"/>
        <v>767.67154084798347</v>
      </c>
      <c r="I115" s="559"/>
      <c r="J115" s="610"/>
      <c r="K115" s="610"/>
      <c r="L115" s="610"/>
      <c r="M115" s="610"/>
      <c r="N115" s="610"/>
      <c r="O115" s="610"/>
      <c r="P115" s="559"/>
      <c r="Q115" s="613">
        <f t="shared" si="11"/>
        <v>877.24993371682285</v>
      </c>
      <c r="R115" s="608">
        <f t="shared" si="12"/>
        <v>3.2908936834619387E-2</v>
      </c>
    </row>
    <row r="116" spans="2:18">
      <c r="B116" s="187">
        <v>5</v>
      </c>
      <c r="C116" s="606" t="s">
        <v>1535</v>
      </c>
      <c r="D116" s="559">
        <f t="shared" si="10"/>
        <v>515.81013156531651</v>
      </c>
      <c r="E116" s="559">
        <f t="shared" si="10"/>
        <v>521.44176573968775</v>
      </c>
      <c r="F116" s="559">
        <f t="shared" si="10"/>
        <v>527.76020323517207</v>
      </c>
      <c r="G116" s="559">
        <f t="shared" si="10"/>
        <v>512.43954474909469</v>
      </c>
      <c r="H116" s="559">
        <f t="shared" si="10"/>
        <v>521.49764219234748</v>
      </c>
      <c r="I116" s="559"/>
      <c r="J116" s="610"/>
      <c r="K116" s="610"/>
      <c r="L116" s="610"/>
      <c r="M116" s="610"/>
      <c r="N116" s="610"/>
      <c r="O116" s="610"/>
      <c r="P116" s="559"/>
      <c r="Q116" s="613">
        <f t="shared" si="11"/>
        <v>519.78985749632363</v>
      </c>
      <c r="R116" s="608">
        <f t="shared" si="12"/>
        <v>1.9499268030887161E-2</v>
      </c>
    </row>
    <row r="117" spans="2:18">
      <c r="B117" s="194">
        <v>6</v>
      </c>
      <c r="C117" s="606" t="s">
        <v>1536</v>
      </c>
      <c r="D117" s="559">
        <f t="shared" si="10"/>
        <v>11.342670672329845</v>
      </c>
      <c r="E117" s="559">
        <f t="shared" si="10"/>
        <v>11.113284399875942</v>
      </c>
      <c r="F117" s="559">
        <f t="shared" si="10"/>
        <v>10.918311903774367</v>
      </c>
      <c r="G117" s="559">
        <f t="shared" si="10"/>
        <v>9.247470253491981</v>
      </c>
      <c r="H117" s="559">
        <f t="shared" si="10"/>
        <v>8.9650465356773523</v>
      </c>
      <c r="I117" s="559"/>
      <c r="J117" s="610"/>
      <c r="K117" s="610"/>
      <c r="L117" s="610"/>
      <c r="M117" s="610"/>
      <c r="N117" s="610"/>
      <c r="O117" s="610"/>
      <c r="P117" s="559"/>
      <c r="Q117" s="613">
        <f t="shared" si="11"/>
        <v>10.317356753029898</v>
      </c>
      <c r="R117" s="608">
        <f t="shared" si="12"/>
        <v>3.8704276698788139E-4</v>
      </c>
    </row>
    <row r="118" spans="2:18">
      <c r="B118" s="187">
        <v>7</v>
      </c>
      <c r="C118" s="606" t="s">
        <v>1537</v>
      </c>
      <c r="D118" s="559">
        <f t="shared" si="10"/>
        <v>5.1511447218481301</v>
      </c>
      <c r="E118" s="559">
        <f t="shared" si="10"/>
        <v>5.3723353664840268</v>
      </c>
      <c r="F118" s="559">
        <f t="shared" si="10"/>
        <v>5.4382413936126088</v>
      </c>
      <c r="G118" s="559">
        <f t="shared" si="10"/>
        <v>4.6104293843766166</v>
      </c>
      <c r="H118" s="559">
        <f t="shared" si="10"/>
        <v>4.6387383660806618</v>
      </c>
      <c r="I118" s="559"/>
      <c r="J118" s="610"/>
      <c r="K118" s="610"/>
      <c r="L118" s="610"/>
      <c r="M118" s="610"/>
      <c r="N118" s="610"/>
      <c r="O118" s="610"/>
      <c r="P118" s="559"/>
      <c r="Q118" s="613">
        <f t="shared" si="11"/>
        <v>5.042177846480409</v>
      </c>
      <c r="R118" s="608">
        <f t="shared" si="12"/>
        <v>1.8915101145200455E-4</v>
      </c>
    </row>
    <row r="119" spans="2:18">
      <c r="B119" s="187">
        <v>8</v>
      </c>
      <c r="C119" s="606" t="s">
        <v>1538</v>
      </c>
      <c r="D119" s="559">
        <f t="shared" si="10"/>
        <v>5.5478504091992118</v>
      </c>
      <c r="E119" s="559">
        <f t="shared" si="10"/>
        <v>5.6079189496536745</v>
      </c>
      <c r="F119" s="559">
        <f t="shared" si="10"/>
        <v>5.5273952716715051</v>
      </c>
      <c r="G119" s="559">
        <f t="shared" si="10"/>
        <v>4.6669632695292291</v>
      </c>
      <c r="H119" s="559">
        <f t="shared" si="10"/>
        <v>5.2978076525336091</v>
      </c>
      <c r="I119" s="559"/>
      <c r="J119" s="610"/>
      <c r="K119" s="610"/>
      <c r="L119" s="610"/>
      <c r="M119" s="610"/>
      <c r="N119" s="610"/>
      <c r="O119" s="610"/>
      <c r="P119" s="559"/>
      <c r="Q119" s="613">
        <f t="shared" si="11"/>
        <v>5.3295871105174459</v>
      </c>
      <c r="R119" s="608">
        <f t="shared" si="12"/>
        <v>1.999328114298116E-4</v>
      </c>
    </row>
    <row r="120" spans="2:18">
      <c r="B120" s="194">
        <v>9</v>
      </c>
      <c r="C120" s="606" t="s">
        <v>1539</v>
      </c>
      <c r="D120" s="559">
        <f t="shared" si="10"/>
        <v>6.6255464622397184</v>
      </c>
      <c r="E120" s="559">
        <f t="shared" si="10"/>
        <v>7.5745477101209548</v>
      </c>
      <c r="F120" s="559">
        <f t="shared" si="10"/>
        <v>10.287183741186229</v>
      </c>
      <c r="G120" s="559">
        <f t="shared" si="10"/>
        <v>11.663404035178479</v>
      </c>
      <c r="H120" s="559">
        <f t="shared" si="10"/>
        <v>10.603123061013445</v>
      </c>
      <c r="I120" s="559"/>
      <c r="J120" s="610"/>
      <c r="K120" s="610"/>
      <c r="L120" s="610"/>
      <c r="M120" s="610"/>
      <c r="N120" s="610"/>
      <c r="O120" s="610"/>
      <c r="P120" s="559"/>
      <c r="Q120" s="613">
        <f t="shared" si="11"/>
        <v>9.3507610019477649</v>
      </c>
      <c r="R120" s="608">
        <f t="shared" si="12"/>
        <v>3.5078213327976695E-4</v>
      </c>
    </row>
    <row r="121" spans="2:18">
      <c r="B121" s="187">
        <v>10</v>
      </c>
      <c r="C121" s="606" t="s">
        <v>1524</v>
      </c>
      <c r="D121" s="559">
        <f t="shared" si="10"/>
        <v>15.460064228737179</v>
      </c>
      <c r="E121" s="559">
        <f t="shared" si="10"/>
        <v>16.48009924532203</v>
      </c>
      <c r="F121" s="559">
        <f t="shared" si="10"/>
        <v>17.532559104106177</v>
      </c>
      <c r="G121" s="559">
        <f t="shared" si="10"/>
        <v>14.263010863942061</v>
      </c>
      <c r="H121" s="559">
        <f t="shared" si="10"/>
        <v>13.696794208893484</v>
      </c>
      <c r="I121" s="559"/>
      <c r="J121" s="610"/>
      <c r="K121" s="610"/>
      <c r="L121" s="610"/>
      <c r="M121" s="610"/>
      <c r="N121" s="610"/>
      <c r="O121" s="610"/>
      <c r="P121" s="559"/>
      <c r="Q121" s="613">
        <f t="shared" si="11"/>
        <v>15.486505530200185</v>
      </c>
      <c r="R121" s="608">
        <f t="shared" si="12"/>
        <v>5.8095693449987244E-4</v>
      </c>
    </row>
    <row r="122" spans="2:18">
      <c r="B122" s="187">
        <v>11</v>
      </c>
      <c r="C122" s="606" t="s">
        <v>1540</v>
      </c>
      <c r="D122" s="559">
        <f t="shared" si="10"/>
        <v>11.055153838185021</v>
      </c>
      <c r="E122" s="559">
        <f t="shared" si="10"/>
        <v>11.020862193735137</v>
      </c>
      <c r="F122" s="559">
        <f t="shared" si="10"/>
        <v>10.145790128577353</v>
      </c>
      <c r="G122" s="559">
        <f t="shared" si="10"/>
        <v>7.4707915157785827</v>
      </c>
      <c r="H122" s="559">
        <f t="shared" si="10"/>
        <v>7.5459358841778688</v>
      </c>
      <c r="I122" s="559"/>
      <c r="J122" s="610"/>
      <c r="K122" s="610"/>
      <c r="L122" s="610"/>
      <c r="M122" s="610"/>
      <c r="N122" s="610"/>
      <c r="O122" s="610"/>
      <c r="P122" s="559"/>
      <c r="Q122" s="613">
        <f t="shared" si="11"/>
        <v>9.4477067120907918</v>
      </c>
      <c r="R122" s="608">
        <f t="shared" si="12"/>
        <v>3.5441893064943659E-4</v>
      </c>
    </row>
    <row r="123" spans="2:18">
      <c r="B123" s="194">
        <v>12</v>
      </c>
      <c r="C123" s="606" t="s">
        <v>1541</v>
      </c>
      <c r="D123" s="559">
        <f t="shared" si="10"/>
        <v>6.7290997617321038</v>
      </c>
      <c r="E123" s="559">
        <f t="shared" si="10"/>
        <v>6.7864364726558453</v>
      </c>
      <c r="F123" s="559">
        <f t="shared" si="10"/>
        <v>6.1101617586063872</v>
      </c>
      <c r="G123" s="559">
        <f t="shared" si="10"/>
        <v>5.0290946714950859</v>
      </c>
      <c r="H123" s="559">
        <f t="shared" si="10"/>
        <v>5.1818407445708381</v>
      </c>
      <c r="I123" s="559"/>
      <c r="J123" s="610"/>
      <c r="K123" s="610"/>
      <c r="L123" s="610"/>
      <c r="M123" s="610"/>
      <c r="N123" s="610"/>
      <c r="O123" s="610"/>
      <c r="P123" s="559"/>
      <c r="Q123" s="613">
        <f t="shared" si="11"/>
        <v>5.9673266818120521</v>
      </c>
      <c r="R123" s="608">
        <f t="shared" si="12"/>
        <v>2.2385681582357675E-4</v>
      </c>
    </row>
    <row r="124" spans="2:18">
      <c r="B124" s="187">
        <v>13</v>
      </c>
      <c r="C124" s="606" t="s">
        <v>1525</v>
      </c>
      <c r="D124" s="559">
        <f t="shared" si="10"/>
        <v>1.1105355847922924</v>
      </c>
      <c r="E124" s="559">
        <f t="shared" si="10"/>
        <v>0.91595161790551016</v>
      </c>
      <c r="F124" s="559">
        <f t="shared" si="10"/>
        <v>1.0929075072583991</v>
      </c>
      <c r="G124" s="559">
        <f t="shared" si="10"/>
        <v>1.0346611484738748</v>
      </c>
      <c r="H124" s="559">
        <f t="shared" si="10"/>
        <v>1.1106514994829368</v>
      </c>
      <c r="I124" s="559"/>
      <c r="J124" s="610"/>
      <c r="K124" s="610"/>
      <c r="L124" s="610"/>
      <c r="M124" s="610"/>
      <c r="N124" s="610"/>
      <c r="O124" s="610"/>
      <c r="P124" s="559"/>
      <c r="Q124" s="613">
        <f t="shared" si="11"/>
        <v>1.0529414715826027</v>
      </c>
      <c r="R124" s="608">
        <f t="shared" si="12"/>
        <v>3.9499785690549272E-5</v>
      </c>
    </row>
    <row r="125" spans="2:18">
      <c r="B125" s="187">
        <v>14</v>
      </c>
      <c r="C125" s="606" t="s">
        <v>1542</v>
      </c>
      <c r="D125" s="559">
        <f t="shared" si="10"/>
        <v>0.70100486895265712</v>
      </c>
      <c r="E125" s="559">
        <f t="shared" si="10"/>
        <v>0.69211206450945939</v>
      </c>
      <c r="F125" s="559">
        <f t="shared" si="10"/>
        <v>0.67523849025300708</v>
      </c>
      <c r="G125" s="559">
        <f t="shared" si="10"/>
        <v>0.55559234350750131</v>
      </c>
      <c r="H125" s="559">
        <f t="shared" si="10"/>
        <v>0.56194415718717683</v>
      </c>
      <c r="I125" s="559"/>
      <c r="J125" s="610"/>
      <c r="K125" s="610"/>
      <c r="L125" s="610"/>
      <c r="M125" s="610"/>
      <c r="N125" s="610"/>
      <c r="O125" s="610"/>
      <c r="P125" s="559"/>
      <c r="Q125" s="613">
        <f t="shared" si="11"/>
        <v>0.63717838488196032</v>
      </c>
      <c r="R125" s="608">
        <f t="shared" si="12"/>
        <v>2.390295218561282E-5</v>
      </c>
    </row>
    <row r="126" spans="2:18">
      <c r="B126" s="194">
        <v>15</v>
      </c>
      <c r="C126" s="606" t="s">
        <v>1543</v>
      </c>
      <c r="D126" s="559">
        <f t="shared" si="10"/>
        <v>28.527048585931837</v>
      </c>
      <c r="E126" s="559">
        <f t="shared" si="10"/>
        <v>31.857458906233845</v>
      </c>
      <c r="F126" s="559">
        <f t="shared" si="10"/>
        <v>32.383616756532561</v>
      </c>
      <c r="G126" s="559">
        <f t="shared" si="10"/>
        <v>23.127263321262287</v>
      </c>
      <c r="H126" s="559">
        <f t="shared" si="10"/>
        <v>25.001820062047571</v>
      </c>
      <c r="I126" s="559"/>
      <c r="J126" s="610"/>
      <c r="K126" s="610"/>
      <c r="L126" s="610"/>
      <c r="M126" s="610"/>
      <c r="N126" s="610"/>
      <c r="O126" s="610"/>
      <c r="P126" s="559"/>
      <c r="Q126" s="613">
        <f t="shared" si="11"/>
        <v>28.179441526401622</v>
      </c>
      <c r="R126" s="608">
        <f t="shared" si="12"/>
        <v>1.0571165930991712E-3</v>
      </c>
    </row>
    <row r="127" spans="2:18">
      <c r="B127" s="187">
        <v>16</v>
      </c>
      <c r="C127" s="606" t="s">
        <v>1527</v>
      </c>
      <c r="D127" s="559" t="s">
        <v>1544</v>
      </c>
      <c r="E127" s="559" t="s">
        <v>1544</v>
      </c>
      <c r="F127" s="559" t="s">
        <v>1544</v>
      </c>
      <c r="G127" s="559">
        <f>+(G85+G106)/2</f>
        <v>12.726332126228659</v>
      </c>
      <c r="H127" s="559">
        <f>+(H85+H106)/2</f>
        <v>12.740434332988624</v>
      </c>
      <c r="I127" s="559"/>
      <c r="J127" s="610"/>
      <c r="K127" s="610"/>
      <c r="L127" s="610"/>
      <c r="M127" s="610"/>
      <c r="N127" s="610"/>
      <c r="O127" s="610"/>
      <c r="P127" s="559"/>
      <c r="Q127" s="613">
        <f t="shared" si="11"/>
        <v>12.733383229608641</v>
      </c>
      <c r="R127" s="608">
        <f t="shared" si="12"/>
        <v>4.7767698609990411E-4</v>
      </c>
    </row>
    <row r="128" spans="2:18">
      <c r="B128" s="187">
        <v>17</v>
      </c>
      <c r="C128" s="606" t="s">
        <v>1528</v>
      </c>
      <c r="D128" s="559" t="s">
        <v>1544</v>
      </c>
      <c r="E128" s="559" t="s">
        <v>1544</v>
      </c>
      <c r="F128" s="559" t="s">
        <v>1544</v>
      </c>
      <c r="G128" s="559">
        <f>+(G86+G107)/2</f>
        <v>13.004614588722193</v>
      </c>
      <c r="H128" s="559">
        <f>+(H86+H107)/2</f>
        <v>12.967942088934851</v>
      </c>
      <c r="I128" s="559"/>
      <c r="J128" s="610"/>
      <c r="K128" s="610"/>
      <c r="L128" s="610"/>
      <c r="M128" s="610"/>
      <c r="N128" s="610"/>
      <c r="O128" s="610"/>
      <c r="P128" s="559"/>
      <c r="Q128" s="613">
        <f t="shared" si="11"/>
        <v>12.986278338828523</v>
      </c>
      <c r="R128" s="608">
        <f t="shared" si="12"/>
        <v>4.8716403061849369E-4</v>
      </c>
    </row>
    <row r="129" spans="2:17">
      <c r="B129" s="194">
        <v>18</v>
      </c>
      <c r="C129" s="195" t="s">
        <v>157</v>
      </c>
      <c r="D129" s="186"/>
      <c r="E129" s="186"/>
      <c r="F129" s="186"/>
      <c r="G129" s="186"/>
      <c r="H129" s="186"/>
      <c r="I129" s="186"/>
      <c r="J129" s="291"/>
      <c r="K129" s="291"/>
      <c r="L129" s="291"/>
      <c r="M129" s="291"/>
      <c r="N129" s="291"/>
      <c r="O129" s="291"/>
      <c r="P129" s="186"/>
      <c r="Q129" s="426">
        <f>SUM(Q112:Q128)</f>
        <v>26656.890744461172</v>
      </c>
    </row>
    <row r="132" spans="2:17">
      <c r="B132" s="8" t="s">
        <v>497</v>
      </c>
    </row>
    <row r="133" spans="2:17">
      <c r="B133" s="8" t="s">
        <v>59</v>
      </c>
    </row>
    <row r="134" spans="2:17">
      <c r="B134" s="182" t="s">
        <v>2</v>
      </c>
      <c r="C134" s="182" t="s">
        <v>57</v>
      </c>
      <c r="D134" s="183" t="s">
        <v>470</v>
      </c>
      <c r="E134" s="183" t="s">
        <v>471</v>
      </c>
      <c r="F134" s="183" t="s">
        <v>472</v>
      </c>
      <c r="G134" s="183" t="s">
        <v>473</v>
      </c>
      <c r="H134" s="183" t="s">
        <v>474</v>
      </c>
      <c r="I134" s="183" t="s">
        <v>475</v>
      </c>
      <c r="J134" s="183" t="s">
        <v>476</v>
      </c>
      <c r="K134" s="183" t="s">
        <v>477</v>
      </c>
      <c r="L134" s="183" t="s">
        <v>478</v>
      </c>
      <c r="M134" s="183" t="s">
        <v>479</v>
      </c>
      <c r="N134" s="183" t="s">
        <v>480</v>
      </c>
      <c r="O134" s="183" t="s">
        <v>481</v>
      </c>
      <c r="P134" s="183" t="s">
        <v>235</v>
      </c>
    </row>
    <row r="135" spans="2:17">
      <c r="B135" s="187">
        <v>1</v>
      </c>
      <c r="C135" s="188" t="s">
        <v>483</v>
      </c>
      <c r="D135" s="186"/>
      <c r="E135" s="186"/>
      <c r="F135" s="186"/>
      <c r="G135" s="186"/>
      <c r="H135" s="186"/>
      <c r="I135" s="186"/>
      <c r="J135" s="186"/>
      <c r="K135" s="186"/>
      <c r="L135" s="186"/>
      <c r="M135" s="186"/>
      <c r="N135" s="186"/>
      <c r="O135" s="186"/>
      <c r="P135" s="186"/>
    </row>
    <row r="136" spans="2:17">
      <c r="B136" s="187">
        <v>2</v>
      </c>
      <c r="C136" s="188" t="s">
        <v>484</v>
      </c>
      <c r="D136" s="186"/>
      <c r="E136" s="186"/>
      <c r="F136" s="186"/>
      <c r="G136" s="186"/>
      <c r="H136" s="186"/>
      <c r="I136" s="186"/>
      <c r="J136" s="186"/>
      <c r="K136" s="186"/>
      <c r="L136" s="186"/>
      <c r="M136" s="186"/>
      <c r="N136" s="186"/>
      <c r="O136" s="186"/>
      <c r="P136" s="186"/>
    </row>
    <row r="137" spans="2:17">
      <c r="B137" s="194">
        <v>3</v>
      </c>
      <c r="C137" s="195" t="s">
        <v>157</v>
      </c>
      <c r="D137" s="186"/>
      <c r="E137" s="186"/>
      <c r="F137" s="186"/>
      <c r="G137" s="186"/>
      <c r="H137" s="186"/>
      <c r="I137" s="186"/>
      <c r="J137" s="186"/>
      <c r="K137" s="186"/>
      <c r="L137" s="186"/>
      <c r="M137" s="186"/>
      <c r="N137" s="186"/>
      <c r="O137" s="186"/>
      <c r="P137" s="186"/>
    </row>
    <row r="138" spans="2:17">
      <c r="B138" s="194">
        <v>4</v>
      </c>
      <c r="C138" s="195" t="s">
        <v>157</v>
      </c>
      <c r="D138" s="186"/>
      <c r="E138" s="186"/>
      <c r="F138" s="186"/>
      <c r="G138" s="186"/>
      <c r="H138" s="186"/>
      <c r="I138" s="186"/>
      <c r="J138" s="186"/>
      <c r="K138" s="186"/>
      <c r="L138" s="186"/>
      <c r="M138" s="186"/>
      <c r="N138" s="186"/>
      <c r="O138" s="186"/>
      <c r="P138" s="186"/>
    </row>
    <row r="139" spans="2:17">
      <c r="B139" s="346"/>
      <c r="D139" s="363"/>
      <c r="E139" s="363"/>
      <c r="F139" s="363"/>
      <c r="G139" s="363"/>
      <c r="H139" s="363"/>
      <c r="I139" s="363"/>
      <c r="J139" s="363"/>
      <c r="K139" s="363"/>
      <c r="L139" s="363"/>
      <c r="M139" s="363"/>
      <c r="N139" s="363"/>
      <c r="O139" s="363"/>
      <c r="P139" s="363"/>
    </row>
    <row r="140" spans="2:17">
      <c r="B140" s="346"/>
      <c r="D140" s="363"/>
      <c r="E140" s="363"/>
      <c r="F140" s="363"/>
      <c r="G140" s="363"/>
      <c r="H140" s="363"/>
      <c r="I140" s="363"/>
      <c r="J140" s="363"/>
      <c r="K140" s="363"/>
      <c r="L140" s="363"/>
      <c r="M140" s="363"/>
      <c r="N140" s="363"/>
      <c r="O140" s="363"/>
      <c r="P140" s="363"/>
    </row>
    <row r="142" spans="2:17">
      <c r="B142" s="8" t="s">
        <v>498</v>
      </c>
    </row>
    <row r="143" spans="2:17">
      <c r="B143" s="198" t="s">
        <v>2</v>
      </c>
      <c r="C143" s="198" t="s">
        <v>57</v>
      </c>
      <c r="D143" s="199" t="s">
        <v>70</v>
      </c>
      <c r="E143" s="198" t="s">
        <v>71</v>
      </c>
      <c r="F143" s="198" t="s">
        <v>72</v>
      </c>
      <c r="G143" s="198" t="s">
        <v>73</v>
      </c>
      <c r="H143" s="198" t="s">
        <v>74</v>
      </c>
    </row>
    <row r="144" spans="2:17">
      <c r="B144" s="187">
        <v>1</v>
      </c>
      <c r="C144" s="188" t="s">
        <v>483</v>
      </c>
      <c r="D144" s="11"/>
      <c r="E144" s="11"/>
      <c r="F144" s="11"/>
      <c r="G144" s="11"/>
      <c r="H144" s="11"/>
    </row>
    <row r="145" spans="2:8">
      <c r="B145" s="187">
        <v>2</v>
      </c>
      <c r="C145" s="188" t="s">
        <v>484</v>
      </c>
      <c r="D145" s="11"/>
      <c r="E145" s="11"/>
      <c r="F145" s="11"/>
      <c r="G145" s="11"/>
      <c r="H145" s="11"/>
    </row>
    <row r="146" spans="2:8">
      <c r="B146" s="194">
        <v>3</v>
      </c>
      <c r="C146" s="195" t="s">
        <v>157</v>
      </c>
      <c r="D146" s="11"/>
      <c r="E146" s="11"/>
      <c r="F146" s="11"/>
      <c r="G146" s="11"/>
      <c r="H146" s="11"/>
    </row>
    <row r="147" spans="2:8">
      <c r="B147" s="194">
        <v>4</v>
      </c>
      <c r="C147" s="195" t="s">
        <v>157</v>
      </c>
      <c r="D147" s="11"/>
      <c r="E147" s="11"/>
      <c r="F147" s="11"/>
      <c r="G147" s="11"/>
      <c r="H147" s="11"/>
    </row>
    <row r="148" spans="2:8">
      <c r="B148" s="364" t="s">
        <v>499</v>
      </c>
    </row>
  </sheetData>
  <pageMargins left="0.64" right="0.23622047244094499" top="0.98425196850393704" bottom="0.98425196850393704" header="0.23622047244094499" footer="0.23622047244094499"/>
  <pageSetup paperSize="9" scale="21" pageOrder="overThenDown" orientation="landscape" r:id="rId1"/>
  <headerFooter alignWithMargins="0">
    <oddHeader>&amp;F</oddHeader>
  </headerFooter>
</worksheet>
</file>

<file path=xl/worksheets/sheet26.xml><?xml version="1.0" encoding="utf-8"?>
<worksheet xmlns="http://schemas.openxmlformats.org/spreadsheetml/2006/main" xmlns:r="http://schemas.openxmlformats.org/officeDocument/2006/relationships">
  <sheetPr>
    <pageSetUpPr fitToPage="1"/>
  </sheetPr>
  <dimension ref="B1:Q139"/>
  <sheetViews>
    <sheetView showGridLines="0" view="pageBreakPreview" topLeftCell="D1" zoomScale="75" zoomScaleNormal="75" zoomScaleSheetLayoutView="75" workbookViewId="0">
      <selection activeCell="D37" sqref="D37:H37"/>
    </sheetView>
  </sheetViews>
  <sheetFormatPr defaultColWidth="9.28515625" defaultRowHeight="15"/>
  <cols>
    <col min="1" max="1" width="4.28515625" style="1" customWidth="1"/>
    <col min="2" max="2" width="9.42578125" style="1" customWidth="1"/>
    <col min="3" max="3" width="57.42578125" style="102" customWidth="1"/>
    <col min="4" max="6" width="19.28515625" style="1" customWidth="1"/>
    <col min="7" max="7" width="22.140625" style="1" customWidth="1"/>
    <col min="8" max="9" width="19.28515625" style="1" customWidth="1"/>
    <col min="10" max="13" width="15.7109375" style="1" customWidth="1"/>
    <col min="14" max="14" width="14.7109375" style="1" customWidth="1"/>
    <col min="15" max="16384" width="9.28515625" style="1"/>
  </cols>
  <sheetData>
    <row r="1" spans="2:14">
      <c r="B1" s="6"/>
    </row>
    <row r="2" spans="2:14">
      <c r="B2" s="82"/>
      <c r="D2" s="179"/>
      <c r="E2" s="81" t="s">
        <v>0</v>
      </c>
      <c r="F2" s="81"/>
      <c r="G2" s="179"/>
      <c r="H2" s="179"/>
    </row>
    <row r="3" spans="2:14">
      <c r="B3" s="82"/>
      <c r="D3" s="179"/>
      <c r="E3" s="88" t="s">
        <v>1</v>
      </c>
      <c r="F3" s="88"/>
      <c r="G3" s="179"/>
      <c r="H3" s="179"/>
    </row>
    <row r="4" spans="2:14">
      <c r="D4" s="179"/>
      <c r="E4" s="62" t="s">
        <v>500</v>
      </c>
      <c r="F4" s="62"/>
      <c r="G4" s="179"/>
      <c r="H4" s="179"/>
    </row>
    <row r="5" spans="2:14">
      <c r="D5" s="179"/>
      <c r="E5" s="62"/>
      <c r="F5" s="62"/>
      <c r="G5" s="179"/>
      <c r="H5" s="179"/>
    </row>
    <row r="6" spans="2:14">
      <c r="B6" s="8" t="s">
        <v>501</v>
      </c>
      <c r="D6" s="179"/>
      <c r="E6" s="62"/>
      <c r="F6" s="62"/>
      <c r="G6" s="179"/>
      <c r="H6" s="179"/>
    </row>
    <row r="7" spans="2:14">
      <c r="D7" s="179"/>
      <c r="E7" s="62"/>
      <c r="F7" s="62"/>
      <c r="G7" s="179"/>
      <c r="H7" s="179"/>
    </row>
    <row r="8" spans="2:14">
      <c r="B8" s="1005" t="s">
        <v>2</v>
      </c>
      <c r="C8" s="1008" t="s">
        <v>57</v>
      </c>
      <c r="D8" s="954" t="s">
        <v>61</v>
      </c>
      <c r="E8" s="954"/>
      <c r="F8" s="954"/>
      <c r="G8" s="954"/>
      <c r="H8" s="954"/>
      <c r="I8" s="954"/>
      <c r="J8" s="954"/>
      <c r="K8" s="954"/>
      <c r="L8" s="954"/>
      <c r="M8" s="954"/>
      <c r="N8" s="954" t="s">
        <v>62</v>
      </c>
    </row>
    <row r="9" spans="2:14">
      <c r="B9" s="1006"/>
      <c r="C9" s="1008"/>
      <c r="D9" s="963" t="s">
        <v>70</v>
      </c>
      <c r="E9" s="965"/>
      <c r="F9" s="963" t="s">
        <v>71</v>
      </c>
      <c r="G9" s="965"/>
      <c r="H9" s="963" t="s">
        <v>72</v>
      </c>
      <c r="I9" s="965"/>
      <c r="J9" s="963" t="s">
        <v>73</v>
      </c>
      <c r="K9" s="965"/>
      <c r="L9" s="963" t="s">
        <v>74</v>
      </c>
      <c r="M9" s="965"/>
      <c r="N9" s="954"/>
    </row>
    <row r="10" spans="2:14">
      <c r="B10" s="1041"/>
      <c r="C10" s="1042"/>
      <c r="D10" s="198" t="s">
        <v>502</v>
      </c>
      <c r="E10" s="198" t="s">
        <v>503</v>
      </c>
      <c r="F10" s="198" t="s">
        <v>502</v>
      </c>
      <c r="G10" s="198" t="s">
        <v>503</v>
      </c>
      <c r="H10" s="198" t="s">
        <v>502</v>
      </c>
      <c r="I10" s="198" t="s">
        <v>503</v>
      </c>
      <c r="J10" s="198" t="s">
        <v>502</v>
      </c>
      <c r="K10" s="198" t="s">
        <v>503</v>
      </c>
      <c r="L10" s="198" t="s">
        <v>502</v>
      </c>
      <c r="M10" s="198" t="s">
        <v>503</v>
      </c>
      <c r="N10" s="1034"/>
    </row>
    <row r="11" spans="2:14">
      <c r="B11" s="203">
        <v>1</v>
      </c>
      <c r="C11" s="606" t="s">
        <v>1512</v>
      </c>
      <c r="D11" s="615">
        <f>$D$29*E11</f>
        <v>25132.715777571051</v>
      </c>
      <c r="E11" s="612">
        <f>'F12'!R112</f>
        <v>0.83888913976556789</v>
      </c>
      <c r="F11" s="615">
        <f>$F$29*G11</f>
        <v>26389.351566449604</v>
      </c>
      <c r="G11" s="612">
        <f>E11</f>
        <v>0.83888913976556789</v>
      </c>
      <c r="H11" s="615">
        <f>$H$29*I11</f>
        <v>27708.819144772089</v>
      </c>
      <c r="I11" s="612">
        <f>G11</f>
        <v>0.83888913976556789</v>
      </c>
      <c r="J11" s="615">
        <f>$J$29*K11</f>
        <v>29094.260102010696</v>
      </c>
      <c r="K11" s="612">
        <f>I11</f>
        <v>0.83888913976556789</v>
      </c>
      <c r="L11" s="615">
        <f>$L$29*M11</f>
        <v>30548.973107111229</v>
      </c>
      <c r="M11" s="612">
        <f>K11</f>
        <v>0.83888913976556789</v>
      </c>
      <c r="N11" s="292"/>
    </row>
    <row r="12" spans="2:14">
      <c r="B12" s="203">
        <v>2</v>
      </c>
      <c r="C12" s="606" t="s">
        <v>1533</v>
      </c>
      <c r="D12" s="615">
        <f t="shared" ref="D12:D27" si="0">$D$29*E12</f>
        <v>1103.7289986067642</v>
      </c>
      <c r="E12" s="612">
        <f>'F12'!R113</f>
        <v>3.6840677241965145E-2</v>
      </c>
      <c r="F12" s="615">
        <f t="shared" ref="F12:F27" si="1">$F$29*G12</f>
        <v>1158.9154485371025</v>
      </c>
      <c r="G12" s="612">
        <f t="shared" ref="G12:G27" si="2">E12</f>
        <v>3.6840677241965145E-2</v>
      </c>
      <c r="H12" s="615">
        <f t="shared" ref="H12:H27" si="3">$H$29*I12</f>
        <v>1216.8612209639577</v>
      </c>
      <c r="I12" s="612">
        <f t="shared" ref="I12:I27" si="4">G12</f>
        <v>3.6840677241965145E-2</v>
      </c>
      <c r="J12" s="615">
        <f t="shared" ref="J12:J27" si="5">$J$29*K12</f>
        <v>1277.7042820121558</v>
      </c>
      <c r="K12" s="612">
        <f t="shared" ref="K12:K27" si="6">I12</f>
        <v>3.6840677241965145E-2</v>
      </c>
      <c r="L12" s="615">
        <f t="shared" ref="L12:L27" si="7">$L$29*M12</f>
        <v>1341.5894961127635</v>
      </c>
      <c r="M12" s="612">
        <f t="shared" ref="M12:M27" si="8">K12</f>
        <v>3.6840677241965145E-2</v>
      </c>
      <c r="N12" s="292"/>
    </row>
    <row r="13" spans="2:14">
      <c r="B13" s="203">
        <v>3</v>
      </c>
      <c r="C13" s="606" t="s">
        <v>1534</v>
      </c>
      <c r="D13" s="615">
        <f t="shared" si="0"/>
        <v>2021.9822620464465</v>
      </c>
      <c r="E13" s="612">
        <f>'F12'!R114</f>
        <v>6.7490476375144506E-2</v>
      </c>
      <c r="F13" s="615">
        <f t="shared" si="1"/>
        <v>2123.081375148769</v>
      </c>
      <c r="G13" s="612">
        <f t="shared" si="2"/>
        <v>6.7490476375144506E-2</v>
      </c>
      <c r="H13" s="615">
        <f t="shared" si="3"/>
        <v>2229.2354439062078</v>
      </c>
      <c r="I13" s="612">
        <f t="shared" si="4"/>
        <v>6.7490476375144506E-2</v>
      </c>
      <c r="J13" s="615">
        <f t="shared" si="5"/>
        <v>2340.6972161015183</v>
      </c>
      <c r="K13" s="612">
        <f t="shared" si="6"/>
        <v>6.7490476375144506E-2</v>
      </c>
      <c r="L13" s="615">
        <f t="shared" si="7"/>
        <v>2457.7320769065941</v>
      </c>
      <c r="M13" s="612">
        <f t="shared" si="8"/>
        <v>6.7490476375144506E-2</v>
      </c>
      <c r="N13" s="293"/>
    </row>
    <row r="14" spans="2:14">
      <c r="B14" s="203"/>
      <c r="C14" s="606" t="s">
        <v>1515</v>
      </c>
      <c r="D14" s="615">
        <f t="shared" si="0"/>
        <v>985.93594409585853</v>
      </c>
      <c r="E14" s="612">
        <f>'F12'!R115</f>
        <v>3.2908936834619387E-2</v>
      </c>
      <c r="F14" s="615">
        <f t="shared" si="1"/>
        <v>1035.2327413006515</v>
      </c>
      <c r="G14" s="612">
        <f t="shared" si="2"/>
        <v>3.2908936834619387E-2</v>
      </c>
      <c r="H14" s="615">
        <f t="shared" si="3"/>
        <v>1086.9943783656843</v>
      </c>
      <c r="I14" s="612">
        <f t="shared" si="4"/>
        <v>3.2908936834619387E-2</v>
      </c>
      <c r="J14" s="615">
        <f t="shared" si="5"/>
        <v>1141.3440972839685</v>
      </c>
      <c r="K14" s="612">
        <f t="shared" si="6"/>
        <v>3.2908936834619387E-2</v>
      </c>
      <c r="L14" s="615">
        <f t="shared" si="7"/>
        <v>1198.4113021481669</v>
      </c>
      <c r="M14" s="612">
        <f t="shared" si="8"/>
        <v>3.2908936834619387E-2</v>
      </c>
      <c r="N14" s="293"/>
    </row>
    <row r="15" spans="2:14">
      <c r="B15" s="203"/>
      <c r="C15" s="606" t="s">
        <v>1535</v>
      </c>
      <c r="D15" s="615">
        <f t="shared" si="0"/>
        <v>584.18870630261961</v>
      </c>
      <c r="E15" s="612">
        <f>'F12'!R116</f>
        <v>1.9499268030887161E-2</v>
      </c>
      <c r="F15" s="615">
        <f t="shared" si="1"/>
        <v>613.39814161775064</v>
      </c>
      <c r="G15" s="612">
        <f t="shared" si="2"/>
        <v>1.9499268030887161E-2</v>
      </c>
      <c r="H15" s="615">
        <f t="shared" si="3"/>
        <v>644.06804869863822</v>
      </c>
      <c r="I15" s="612">
        <f t="shared" si="4"/>
        <v>1.9499268030887161E-2</v>
      </c>
      <c r="J15" s="615">
        <f t="shared" si="5"/>
        <v>676.27145113357017</v>
      </c>
      <c r="K15" s="612">
        <f t="shared" si="6"/>
        <v>1.9499268030887161E-2</v>
      </c>
      <c r="L15" s="615">
        <f t="shared" si="7"/>
        <v>710.0850236902487</v>
      </c>
      <c r="M15" s="612">
        <f t="shared" si="8"/>
        <v>1.9499268030887161E-2</v>
      </c>
      <c r="N15" s="293"/>
    </row>
    <row r="16" spans="2:14">
      <c r="B16" s="203"/>
      <c r="C16" s="606" t="s">
        <v>1536</v>
      </c>
      <c r="D16" s="615">
        <f t="shared" si="0"/>
        <v>11.595615433988652</v>
      </c>
      <c r="E16" s="612">
        <f>'F12'!R117</f>
        <v>3.8704276698788139E-4</v>
      </c>
      <c r="F16" s="615">
        <f t="shared" si="1"/>
        <v>12.175396205688086</v>
      </c>
      <c r="G16" s="612">
        <f t="shared" si="2"/>
        <v>3.8704276698788139E-4</v>
      </c>
      <c r="H16" s="615">
        <f t="shared" si="3"/>
        <v>12.784166015972492</v>
      </c>
      <c r="I16" s="612">
        <f t="shared" si="4"/>
        <v>3.8704276698788139E-4</v>
      </c>
      <c r="J16" s="615">
        <f t="shared" si="5"/>
        <v>13.423374316771117</v>
      </c>
      <c r="K16" s="612">
        <f t="shared" si="6"/>
        <v>3.8704276698788139E-4</v>
      </c>
      <c r="L16" s="615">
        <f t="shared" si="7"/>
        <v>14.094543032609673</v>
      </c>
      <c r="M16" s="612">
        <f t="shared" si="8"/>
        <v>3.8704276698788139E-4</v>
      </c>
      <c r="N16" s="294"/>
    </row>
    <row r="17" spans="2:14">
      <c r="B17" s="166"/>
      <c r="C17" s="606" t="s">
        <v>1537</v>
      </c>
      <c r="D17" s="615">
        <f t="shared" si="0"/>
        <v>5.666873469349972</v>
      </c>
      <c r="E17" s="612">
        <f>'F12'!R118</f>
        <v>1.8915101145200455E-4</v>
      </c>
      <c r="F17" s="615">
        <f t="shared" si="1"/>
        <v>5.950217142817471</v>
      </c>
      <c r="G17" s="612">
        <f t="shared" si="2"/>
        <v>1.8915101145200455E-4</v>
      </c>
      <c r="H17" s="615">
        <f t="shared" si="3"/>
        <v>6.2477279999583448</v>
      </c>
      <c r="I17" s="612">
        <f t="shared" si="4"/>
        <v>1.8915101145200455E-4</v>
      </c>
      <c r="J17" s="615">
        <f t="shared" si="5"/>
        <v>6.5601143999562632</v>
      </c>
      <c r="K17" s="612">
        <f t="shared" si="6"/>
        <v>1.8915101145200455E-4</v>
      </c>
      <c r="L17" s="615">
        <f t="shared" si="7"/>
        <v>6.8881201199540767</v>
      </c>
      <c r="M17" s="612">
        <f t="shared" si="8"/>
        <v>1.8915101145200455E-4</v>
      </c>
      <c r="N17" s="204"/>
    </row>
    <row r="18" spans="2:14">
      <c r="B18" s="595"/>
      <c r="C18" s="606" t="s">
        <v>1538</v>
      </c>
      <c r="D18" s="615">
        <f t="shared" si="0"/>
        <v>5.9898910190688444</v>
      </c>
      <c r="E18" s="612">
        <f>'F12'!R119</f>
        <v>1.999328114298116E-4</v>
      </c>
      <c r="F18" s="615">
        <f t="shared" si="1"/>
        <v>6.2893855700222874</v>
      </c>
      <c r="G18" s="612">
        <f t="shared" si="2"/>
        <v>1.999328114298116E-4</v>
      </c>
      <c r="H18" s="615">
        <f t="shared" si="3"/>
        <v>6.6038548485234019</v>
      </c>
      <c r="I18" s="612">
        <f t="shared" si="4"/>
        <v>1.999328114298116E-4</v>
      </c>
      <c r="J18" s="615">
        <f t="shared" si="5"/>
        <v>6.9340475909495725</v>
      </c>
      <c r="K18" s="612">
        <f t="shared" si="6"/>
        <v>1.999328114298116E-4</v>
      </c>
      <c r="L18" s="615">
        <f t="shared" si="7"/>
        <v>7.2807499704970517</v>
      </c>
      <c r="M18" s="612">
        <f t="shared" si="8"/>
        <v>1.999328114298116E-4</v>
      </c>
      <c r="N18" s="475"/>
    </row>
    <row r="19" spans="2:14">
      <c r="B19" s="595"/>
      <c r="C19" s="606" t="s">
        <v>1539</v>
      </c>
      <c r="D19" s="615">
        <f t="shared" si="0"/>
        <v>10.509264261108612</v>
      </c>
      <c r="E19" s="612">
        <f>'F12'!R120</f>
        <v>3.5078213327976695E-4</v>
      </c>
      <c r="F19" s="615">
        <f t="shared" si="1"/>
        <v>11.034727474164043</v>
      </c>
      <c r="G19" s="612">
        <f t="shared" si="2"/>
        <v>3.5078213327976695E-4</v>
      </c>
      <c r="H19" s="615">
        <f t="shared" si="3"/>
        <v>11.586463847872247</v>
      </c>
      <c r="I19" s="612">
        <f t="shared" si="4"/>
        <v>3.5078213327976695E-4</v>
      </c>
      <c r="J19" s="615">
        <f t="shared" si="5"/>
        <v>12.16578704026586</v>
      </c>
      <c r="K19" s="612">
        <f t="shared" si="6"/>
        <v>3.5078213327976695E-4</v>
      </c>
      <c r="L19" s="615">
        <f t="shared" si="7"/>
        <v>12.774076392279154</v>
      </c>
      <c r="M19" s="612">
        <f t="shared" si="8"/>
        <v>3.5078213327976695E-4</v>
      </c>
      <c r="N19" s="475"/>
    </row>
    <row r="20" spans="2:14">
      <c r="B20" s="595"/>
      <c r="C20" s="606" t="s">
        <v>1524</v>
      </c>
      <c r="D20" s="615">
        <f t="shared" si="0"/>
        <v>17.405190771541744</v>
      </c>
      <c r="E20" s="612">
        <f>'F12'!R121</f>
        <v>5.8095693449987244E-4</v>
      </c>
      <c r="F20" s="615">
        <f t="shared" si="1"/>
        <v>18.275450310118835</v>
      </c>
      <c r="G20" s="612">
        <f t="shared" si="2"/>
        <v>5.8095693449987244E-4</v>
      </c>
      <c r="H20" s="615">
        <f t="shared" si="3"/>
        <v>19.189222825624778</v>
      </c>
      <c r="I20" s="612">
        <f t="shared" si="4"/>
        <v>5.8095693449987244E-4</v>
      </c>
      <c r="J20" s="615">
        <f t="shared" si="5"/>
        <v>20.148683966906017</v>
      </c>
      <c r="K20" s="612">
        <f t="shared" si="6"/>
        <v>5.8095693449987244E-4</v>
      </c>
      <c r="L20" s="615">
        <f t="shared" si="7"/>
        <v>21.156118165251318</v>
      </c>
      <c r="M20" s="612">
        <f t="shared" si="8"/>
        <v>5.8095693449987244E-4</v>
      </c>
      <c r="N20" s="475"/>
    </row>
    <row r="21" spans="2:14">
      <c r="B21" s="595"/>
      <c r="C21" s="606" t="s">
        <v>1540</v>
      </c>
      <c r="D21" s="615">
        <f t="shared" si="0"/>
        <v>10.618220963847746</v>
      </c>
      <c r="E21" s="612">
        <f>'F12'!R122</f>
        <v>3.5441893064943659E-4</v>
      </c>
      <c r="F21" s="615">
        <f t="shared" si="1"/>
        <v>11.149132012040134</v>
      </c>
      <c r="G21" s="612">
        <f t="shared" si="2"/>
        <v>3.5441893064943659E-4</v>
      </c>
      <c r="H21" s="615">
        <f t="shared" si="3"/>
        <v>11.706588612642141</v>
      </c>
      <c r="I21" s="612">
        <f t="shared" si="4"/>
        <v>3.5441893064943659E-4</v>
      </c>
      <c r="J21" s="615">
        <f t="shared" si="5"/>
        <v>12.291918043274251</v>
      </c>
      <c r="K21" s="612">
        <f t="shared" si="6"/>
        <v>3.5441893064943659E-4</v>
      </c>
      <c r="L21" s="615">
        <f t="shared" si="7"/>
        <v>12.906513945437963</v>
      </c>
      <c r="M21" s="612">
        <f t="shared" si="8"/>
        <v>3.5441893064943659E-4</v>
      </c>
      <c r="N21" s="475"/>
    </row>
    <row r="22" spans="2:14">
      <c r="B22" s="595"/>
      <c r="C22" s="606" t="s">
        <v>1541</v>
      </c>
      <c r="D22" s="615">
        <f t="shared" si="0"/>
        <v>6.7066427019645012</v>
      </c>
      <c r="E22" s="612">
        <f>'F12'!R123</f>
        <v>2.2385681582357675E-4</v>
      </c>
      <c r="F22" s="615">
        <f t="shared" si="1"/>
        <v>7.0419748370627264</v>
      </c>
      <c r="G22" s="612">
        <f t="shared" si="2"/>
        <v>2.2385681582357675E-4</v>
      </c>
      <c r="H22" s="615">
        <f t="shared" si="3"/>
        <v>7.3940735789158634</v>
      </c>
      <c r="I22" s="612">
        <f t="shared" si="4"/>
        <v>2.2385681582357675E-4</v>
      </c>
      <c r="J22" s="615">
        <f t="shared" si="5"/>
        <v>7.7637772578616575</v>
      </c>
      <c r="K22" s="612">
        <f t="shared" si="6"/>
        <v>2.2385681582357675E-4</v>
      </c>
      <c r="L22" s="615">
        <f t="shared" si="7"/>
        <v>8.1519661207547411</v>
      </c>
      <c r="M22" s="612">
        <f t="shared" si="8"/>
        <v>2.2385681582357675E-4</v>
      </c>
      <c r="N22" s="475"/>
    </row>
    <row r="23" spans="2:14">
      <c r="B23" s="595"/>
      <c r="C23" s="606" t="s">
        <v>1525</v>
      </c>
      <c r="D23" s="615">
        <f t="shared" si="0"/>
        <v>1.1833946107741584</v>
      </c>
      <c r="E23" s="612">
        <f>'F12'!R124</f>
        <v>3.9499785690549272E-5</v>
      </c>
      <c r="F23" s="615">
        <f t="shared" si="1"/>
        <v>1.2425643413128666</v>
      </c>
      <c r="G23" s="612">
        <f t="shared" si="2"/>
        <v>3.9499785690549272E-5</v>
      </c>
      <c r="H23" s="615">
        <f t="shared" si="3"/>
        <v>1.3046925583785101</v>
      </c>
      <c r="I23" s="612">
        <f t="shared" si="4"/>
        <v>3.9499785690549272E-5</v>
      </c>
      <c r="J23" s="615">
        <f t="shared" si="5"/>
        <v>1.3699271862974356</v>
      </c>
      <c r="K23" s="612">
        <f t="shared" si="6"/>
        <v>3.9499785690549272E-5</v>
      </c>
      <c r="L23" s="615">
        <f t="shared" si="7"/>
        <v>1.4384235456123076</v>
      </c>
      <c r="M23" s="612">
        <f t="shared" si="8"/>
        <v>3.9499785690549272E-5</v>
      </c>
      <c r="N23" s="475"/>
    </row>
    <row r="24" spans="2:14">
      <c r="B24" s="595"/>
      <c r="C24" s="606" t="s">
        <v>1542</v>
      </c>
      <c r="D24" s="615">
        <f t="shared" si="0"/>
        <v>0.71612096884906562</v>
      </c>
      <c r="E24" s="612">
        <f>'F12'!R125</f>
        <v>2.390295218561282E-5</v>
      </c>
      <c r="F24" s="615">
        <f t="shared" si="1"/>
        <v>0.75192701729151901</v>
      </c>
      <c r="G24" s="612">
        <f t="shared" si="2"/>
        <v>2.390295218561282E-5</v>
      </c>
      <c r="H24" s="615">
        <f t="shared" si="3"/>
        <v>0.78952336815609503</v>
      </c>
      <c r="I24" s="612">
        <f t="shared" si="4"/>
        <v>2.390295218561282E-5</v>
      </c>
      <c r="J24" s="615">
        <f t="shared" si="5"/>
        <v>0.8289995365638998</v>
      </c>
      <c r="K24" s="612">
        <f t="shared" si="6"/>
        <v>2.390295218561282E-5</v>
      </c>
      <c r="L24" s="615">
        <f t="shared" si="7"/>
        <v>0.87044951339209486</v>
      </c>
      <c r="M24" s="612">
        <f t="shared" si="8"/>
        <v>2.390295218561282E-5</v>
      </c>
      <c r="N24" s="475"/>
    </row>
    <row r="25" spans="2:14">
      <c r="B25" s="595"/>
      <c r="C25" s="606" t="s">
        <v>1543</v>
      </c>
      <c r="D25" s="615">
        <f t="shared" si="0"/>
        <v>31.670705482658086</v>
      </c>
      <c r="E25" s="612">
        <f>'F12'!R126</f>
        <v>1.0571165930991712E-3</v>
      </c>
      <c r="F25" s="615">
        <f t="shared" si="1"/>
        <v>33.254240756790992</v>
      </c>
      <c r="G25" s="612">
        <f t="shared" si="2"/>
        <v>1.0571165930991712E-3</v>
      </c>
      <c r="H25" s="615">
        <f t="shared" si="3"/>
        <v>34.916952794630546</v>
      </c>
      <c r="I25" s="612">
        <f t="shared" si="4"/>
        <v>1.0571165930991712E-3</v>
      </c>
      <c r="J25" s="615">
        <f t="shared" si="5"/>
        <v>36.662800434362076</v>
      </c>
      <c r="K25" s="612">
        <f t="shared" si="6"/>
        <v>1.0571165930991712E-3</v>
      </c>
      <c r="L25" s="615">
        <f t="shared" si="7"/>
        <v>38.495940456080184</v>
      </c>
      <c r="M25" s="612">
        <f t="shared" si="8"/>
        <v>1.0571165930991712E-3</v>
      </c>
      <c r="N25" s="475"/>
    </row>
    <row r="26" spans="2:14">
      <c r="B26" s="595"/>
      <c r="C26" s="606" t="s">
        <v>1527</v>
      </c>
      <c r="D26" s="615">
        <f t="shared" si="0"/>
        <v>14.310973114386245</v>
      </c>
      <c r="E26" s="612">
        <f>'F12'!R127</f>
        <v>4.7767698609990411E-4</v>
      </c>
      <c r="F26" s="615">
        <f t="shared" si="1"/>
        <v>15.026521770105559</v>
      </c>
      <c r="G26" s="612">
        <f t="shared" si="2"/>
        <v>4.7767698609990411E-4</v>
      </c>
      <c r="H26" s="615">
        <f t="shared" si="3"/>
        <v>15.777847858610839</v>
      </c>
      <c r="I26" s="612">
        <f t="shared" si="4"/>
        <v>4.7767698609990411E-4</v>
      </c>
      <c r="J26" s="615">
        <f t="shared" si="5"/>
        <v>16.566740251541383</v>
      </c>
      <c r="K26" s="612">
        <f t="shared" si="6"/>
        <v>4.7767698609990411E-4</v>
      </c>
      <c r="L26" s="615">
        <f t="shared" si="7"/>
        <v>17.395077264118452</v>
      </c>
      <c r="M26" s="612">
        <f t="shared" si="8"/>
        <v>4.7767698609990411E-4</v>
      </c>
      <c r="N26" s="475"/>
    </row>
    <row r="27" spans="2:14">
      <c r="B27" s="204"/>
      <c r="C27" s="606" t="s">
        <v>1528</v>
      </c>
      <c r="D27" s="615">
        <f t="shared" si="0"/>
        <v>14.595200412312057</v>
      </c>
      <c r="E27" s="612">
        <f>'F12'!R128</f>
        <v>4.8716403061849369E-4</v>
      </c>
      <c r="F27" s="615">
        <f t="shared" si="1"/>
        <v>15.324960432927661</v>
      </c>
      <c r="G27" s="612">
        <f t="shared" si="2"/>
        <v>4.8716403061849369E-4</v>
      </c>
      <c r="H27" s="615">
        <f t="shared" si="3"/>
        <v>16.091208454574044</v>
      </c>
      <c r="I27" s="612">
        <f t="shared" si="4"/>
        <v>4.8716403061849369E-4</v>
      </c>
      <c r="J27" s="615">
        <f t="shared" si="5"/>
        <v>16.895768877302746</v>
      </c>
      <c r="K27" s="612">
        <f t="shared" si="6"/>
        <v>4.8716403061849369E-4</v>
      </c>
      <c r="L27" s="615">
        <f t="shared" si="7"/>
        <v>17.740557321167888</v>
      </c>
      <c r="M27" s="612">
        <f t="shared" si="8"/>
        <v>4.8716403061849369E-4</v>
      </c>
      <c r="N27" s="204"/>
    </row>
    <row r="28" spans="2:14">
      <c r="B28" s="204"/>
      <c r="C28" s="295" t="s">
        <v>505</v>
      </c>
      <c r="D28" s="609"/>
      <c r="E28" s="204"/>
      <c r="F28" s="609"/>
      <c r="G28" s="204"/>
      <c r="H28" s="609"/>
      <c r="I28" s="204"/>
      <c r="J28" s="609"/>
      <c r="K28" s="204"/>
      <c r="L28" s="609"/>
      <c r="M28" s="204"/>
      <c r="N28" s="204"/>
    </row>
    <row r="29" spans="2:14">
      <c r="D29" s="611">
        <f>H81*(1+5%)</f>
        <v>29959.519781832583</v>
      </c>
      <c r="E29" s="62"/>
      <c r="F29" s="618">
        <f>D29*(1+5%)</f>
        <v>31457.495770924215</v>
      </c>
      <c r="G29" s="179"/>
      <c r="H29" s="618">
        <f>F29*(1+5%)</f>
        <v>33030.37055947043</v>
      </c>
      <c r="J29" s="618">
        <f>H29*(1+5%)</f>
        <v>34681.889087443953</v>
      </c>
      <c r="L29" s="618">
        <f>J29*(1+5%)</f>
        <v>36415.983541816153</v>
      </c>
    </row>
    <row r="30" spans="2:14">
      <c r="D30" s="651" t="s">
        <v>1562</v>
      </c>
      <c r="E30" s="62"/>
      <c r="F30" s="62"/>
      <c r="G30" s="179"/>
      <c r="H30" s="179"/>
    </row>
    <row r="31" spans="2:14">
      <c r="B31" s="8" t="s">
        <v>506</v>
      </c>
      <c r="D31" s="179"/>
      <c r="E31" s="62"/>
      <c r="F31" s="62"/>
      <c r="G31" s="179"/>
      <c r="H31" s="179"/>
    </row>
    <row r="32" spans="2:14">
      <c r="B32" s="2"/>
      <c r="C32" s="6"/>
    </row>
    <row r="33" spans="2:9" s="17" customFormat="1">
      <c r="B33" s="956" t="s">
        <v>2</v>
      </c>
      <c r="C33" s="959" t="s">
        <v>57</v>
      </c>
      <c r="D33" s="959" t="s">
        <v>61</v>
      </c>
      <c r="E33" s="959"/>
      <c r="F33" s="959"/>
      <c r="G33" s="959"/>
      <c r="H33" s="959"/>
      <c r="I33" s="959" t="s">
        <v>62</v>
      </c>
    </row>
    <row r="34" spans="2:9" s="17" customFormat="1">
      <c r="B34" s="957"/>
      <c r="C34" s="959"/>
      <c r="D34" s="198" t="s">
        <v>70</v>
      </c>
      <c r="E34" s="198" t="s">
        <v>71</v>
      </c>
      <c r="F34" s="198" t="s">
        <v>72</v>
      </c>
      <c r="G34" s="198" t="s">
        <v>73</v>
      </c>
      <c r="H34" s="198" t="s">
        <v>74</v>
      </c>
      <c r="I34" s="959"/>
    </row>
    <row r="35" spans="2:9" s="17" customFormat="1">
      <c r="B35" s="958"/>
      <c r="C35" s="960"/>
      <c r="D35" s="150" t="s">
        <v>86</v>
      </c>
      <c r="E35" s="150" t="s">
        <v>86</v>
      </c>
      <c r="F35" s="150" t="s">
        <v>86</v>
      </c>
      <c r="G35" s="150" t="s">
        <v>86</v>
      </c>
      <c r="H35" s="150" t="s">
        <v>86</v>
      </c>
      <c r="I35" s="960"/>
    </row>
    <row r="36" spans="2:9" s="3" customFormat="1">
      <c r="B36" s="196">
        <v>1</v>
      </c>
      <c r="C36" s="93" t="s">
        <v>1551</v>
      </c>
      <c r="D36" s="421">
        <f ca="1">'F1 '!P23</f>
        <v>3483.1815885450333</v>
      </c>
      <c r="E36" s="421">
        <f ca="1">'F1 '!Q23</f>
        <v>4844.1824824153464</v>
      </c>
      <c r="F36" s="421">
        <f ca="1">'F1 '!R23</f>
        <v>7074.9969858698096</v>
      </c>
      <c r="G36" s="421">
        <f ca="1">'F1 '!S23</f>
        <v>8600.1768444309655</v>
      </c>
      <c r="H36" s="421">
        <f ca="1">'F1 '!T23</f>
        <v>9703.5162732046574</v>
      </c>
      <c r="I36" s="4"/>
    </row>
    <row r="37" spans="2:9" s="3" customFormat="1">
      <c r="B37" s="159"/>
      <c r="C37" s="90" t="s">
        <v>1549</v>
      </c>
      <c r="D37" s="421">
        <f ca="1">D36*10^5/D29/12</f>
        <v>968.85776037962125</v>
      </c>
      <c r="E37" s="421">
        <f ca="1">E36*10^5/F29/12</f>
        <v>1283.2613138510869</v>
      </c>
      <c r="F37" s="421">
        <f ca="1">F36*10^5/H29/12</f>
        <v>1784.9726544674593</v>
      </c>
      <c r="G37" s="421">
        <f ca="1">G36*10^5/J29/12</f>
        <v>2066.4428108157576</v>
      </c>
      <c r="H37" s="421">
        <f ca="1">H36*10^5/L29/12</f>
        <v>2220.5259269514158</v>
      </c>
      <c r="I37" s="4"/>
    </row>
    <row r="38" spans="2:9" s="3" customFormat="1">
      <c r="B38" s="196">
        <v>2</v>
      </c>
      <c r="C38" s="197" t="s">
        <v>1552</v>
      </c>
      <c r="D38" s="4"/>
      <c r="E38" s="4"/>
      <c r="F38" s="4"/>
      <c r="G38" s="4"/>
      <c r="H38" s="4"/>
      <c r="I38" s="4"/>
    </row>
    <row r="39" spans="2:9" s="3" customFormat="1">
      <c r="B39" s="159">
        <f t="shared" ref="B39:B59" si="9">B38+1</f>
        <v>3</v>
      </c>
      <c r="C39" s="606" t="s">
        <v>1512</v>
      </c>
      <c r="D39" s="421">
        <f ca="1">$D$36*E11</f>
        <v>2922.0032064618072</v>
      </c>
      <c r="E39" s="421">
        <f ca="1">$E$36*G11</f>
        <v>4063.7320755408432</v>
      </c>
      <c r="F39" s="421">
        <f ca="1">$F$36*I11</f>
        <v>5935.1381353203105</v>
      </c>
      <c r="G39" s="421">
        <f ca="1">$G$36*K11</f>
        <v>7214.5949548564486</v>
      </c>
      <c r="H39" s="421">
        <f ca="1">$H$36*M11</f>
        <v>8140.174419129844</v>
      </c>
      <c r="I39" s="421"/>
    </row>
    <row r="40" spans="2:9" s="3" customFormat="1">
      <c r="B40" s="159">
        <f t="shared" si="9"/>
        <v>4</v>
      </c>
      <c r="C40" s="606" t="s">
        <v>1533</v>
      </c>
      <c r="D40" s="421">
        <f t="shared" ref="D40:D55" ca="1" si="10">$D$36*E12</f>
        <v>128.32276867874302</v>
      </c>
      <c r="E40" s="421">
        <f t="shared" ref="E40:E55" ca="1" si="11">$E$36*G12</f>
        <v>178.46296333584527</v>
      </c>
      <c r="F40" s="421">
        <f t="shared" ref="F40:F55" ca="1" si="12">$F$36*I12</f>
        <v>260.64768044430588</v>
      </c>
      <c r="G40" s="421">
        <f t="shared" ref="G40:G55" ca="1" si="13">$G$36*K12</f>
        <v>316.83633934950348</v>
      </c>
      <c r="H40" s="421">
        <f t="shared" ref="H40:H55" ca="1" si="14">$H$36*M12</f>
        <v>357.48411113328928</v>
      </c>
      <c r="I40" s="421"/>
    </row>
    <row r="41" spans="2:9" s="3" customFormat="1">
      <c r="B41" s="159">
        <f t="shared" si="9"/>
        <v>5</v>
      </c>
      <c r="C41" s="606" t="s">
        <v>1534</v>
      </c>
      <c r="D41" s="421">
        <f t="shared" ca="1" si="10"/>
        <v>235.08158471203689</v>
      </c>
      <c r="E41" s="421">
        <f t="shared" ca="1" si="11"/>
        <v>326.93618338634178</v>
      </c>
      <c r="F41" s="421">
        <f t="shared" ca="1" si="12"/>
        <v>477.49491692906497</v>
      </c>
      <c r="G41" s="421">
        <f t="shared" ca="1" si="13"/>
        <v>580.43003214113287</v>
      </c>
      <c r="H41" s="421">
        <f t="shared" ca="1" si="14"/>
        <v>654.89493579254918</v>
      </c>
      <c r="I41" s="566"/>
    </row>
    <row r="42" spans="2:9" s="3" customFormat="1">
      <c r="B42" s="159">
        <f t="shared" si="9"/>
        <v>6</v>
      </c>
      <c r="C42" s="606" t="s">
        <v>1515</v>
      </c>
      <c r="D42" s="421">
        <f t="shared" ca="1" si="10"/>
        <v>114.62780288093772</v>
      </c>
      <c r="E42" s="421">
        <f t="shared" ca="1" si="11"/>
        <v>159.41689532917638</v>
      </c>
      <c r="F42" s="421">
        <f t="shared" ca="1" si="12"/>
        <v>232.83062891311212</v>
      </c>
      <c r="G42" s="421">
        <f t="shared" ca="1" si="13"/>
        <v>283.02267653993493</v>
      </c>
      <c r="H42" s="421">
        <f t="shared" ca="1" si="14"/>
        <v>319.33240410859338</v>
      </c>
      <c r="I42" s="566"/>
    </row>
    <row r="43" spans="2:9" s="3" customFormat="1">
      <c r="B43" s="159">
        <f t="shared" si="9"/>
        <v>7</v>
      </c>
      <c r="C43" s="606" t="s">
        <v>1535</v>
      </c>
      <c r="D43" s="421">
        <f t="shared" ca="1" si="10"/>
        <v>67.919491395290919</v>
      </c>
      <c r="E43" s="421">
        <f t="shared" ca="1" si="11"/>
        <v>94.458012615145165</v>
      </c>
      <c r="F43" s="421">
        <f t="shared" ca="1" si="12"/>
        <v>137.9572625451942</v>
      </c>
      <c r="G43" s="421">
        <f t="shared" ca="1" si="13"/>
        <v>167.69715340258875</v>
      </c>
      <c r="H43" s="421">
        <f t="shared" ca="1" si="14"/>
        <v>189.21146465329289</v>
      </c>
      <c r="I43" s="566"/>
    </row>
    <row r="44" spans="2:9" s="3" customFormat="1">
      <c r="B44" s="159">
        <f t="shared" si="9"/>
        <v>8</v>
      </c>
      <c r="C44" s="606" t="s">
        <v>1536</v>
      </c>
      <c r="D44" s="421">
        <f t="shared" ca="1" si="10"/>
        <v>1.3481402399517139</v>
      </c>
      <c r="E44" s="421">
        <f t="shared" ca="1" si="11"/>
        <v>1.8749057917882597</v>
      </c>
      <c r="F44" s="421">
        <f t="shared" ca="1" si="12"/>
        <v>2.7383264098419717</v>
      </c>
      <c r="G44" s="421">
        <f t="shared" ca="1" si="13"/>
        <v>3.3286362424536673</v>
      </c>
      <c r="H44" s="421">
        <f t="shared" ca="1" si="14"/>
        <v>3.7556757878930656</v>
      </c>
      <c r="I44" s="566"/>
    </row>
    <row r="45" spans="2:9" s="3" customFormat="1">
      <c r="B45" s="159">
        <f t="shared" si="9"/>
        <v>9</v>
      </c>
      <c r="C45" s="606" t="s">
        <v>1537</v>
      </c>
      <c r="D45" s="421">
        <f t="shared" ca="1" si="10"/>
        <v>0.65884732054429296</v>
      </c>
      <c r="E45" s="421">
        <f t="shared" ca="1" si="11"/>
        <v>0.91628201620694505</v>
      </c>
      <c r="F45" s="421">
        <f t="shared" ca="1" si="12"/>
        <v>1.3382428358971581</v>
      </c>
      <c r="G45" s="421">
        <f t="shared" ca="1" si="13"/>
        <v>1.626732148790226</v>
      </c>
      <c r="H45" s="421">
        <f t="shared" ca="1" si="14"/>
        <v>1.8354299177176467</v>
      </c>
      <c r="I45" s="566"/>
    </row>
    <row r="46" spans="2:9" s="3" customFormat="1">
      <c r="B46" s="159">
        <f t="shared" si="9"/>
        <v>10</v>
      </c>
      <c r="C46" s="606" t="s">
        <v>1538</v>
      </c>
      <c r="D46" s="421">
        <f t="shared" ca="1" si="10"/>
        <v>0.69640228771836576</v>
      </c>
      <c r="E46" s="421">
        <f t="shared" ca="1" si="11"/>
        <v>0.96851102278834411</v>
      </c>
      <c r="F46" s="421">
        <f t="shared" ca="1" si="12"/>
        <v>1.414524038242394</v>
      </c>
      <c r="G46" s="421">
        <f t="shared" ca="1" si="13"/>
        <v>1.7194575353006485</v>
      </c>
      <c r="H46" s="421">
        <f t="shared" ca="1" si="14"/>
        <v>1.940051289256735</v>
      </c>
      <c r="I46" s="566"/>
    </row>
    <row r="47" spans="2:9" s="3" customFormat="1">
      <c r="B47" s="159">
        <f t="shared" si="9"/>
        <v>11</v>
      </c>
      <c r="C47" s="606" t="s">
        <v>1539</v>
      </c>
      <c r="D47" s="421">
        <f t="shared" ca="1" si="10"/>
        <v>1.2218378682306341</v>
      </c>
      <c r="E47" s="421">
        <f t="shared" ca="1" si="11"/>
        <v>1.6992526651781323</v>
      </c>
      <c r="F47" s="421">
        <f t="shared" ca="1" si="12"/>
        <v>2.481782535651333</v>
      </c>
      <c r="G47" s="421">
        <f t="shared" ca="1" si="13"/>
        <v>3.0167883800727484</v>
      </c>
      <c r="H47" s="421">
        <f t="shared" ca="1" si="14"/>
        <v>3.4038201386296634</v>
      </c>
      <c r="I47" s="566"/>
    </row>
    <row r="48" spans="2:9" s="3" customFormat="1">
      <c r="B48" s="159">
        <f t="shared" si="9"/>
        <v>12</v>
      </c>
      <c r="C48" s="606" t="s">
        <v>1524</v>
      </c>
      <c r="D48" s="421">
        <f t="shared" ca="1" si="10"/>
        <v>2.0235784979875184</v>
      </c>
      <c r="E48" s="421">
        <f t="shared" ca="1" si="11"/>
        <v>2.8142614051420018</v>
      </c>
      <c r="F48" s="421">
        <f t="shared" ca="1" si="12"/>
        <v>4.1102685605067615</v>
      </c>
      <c r="G48" s="421">
        <f t="shared" ca="1" si="13"/>
        <v>4.9963323756974001</v>
      </c>
      <c r="H48" s="421">
        <f t="shared" ca="1" si="14"/>
        <v>5.6373250679506048</v>
      </c>
      <c r="I48" s="566"/>
    </row>
    <row r="49" spans="2:12" s="3" customFormat="1">
      <c r="B49" s="159">
        <f t="shared" si="9"/>
        <v>13</v>
      </c>
      <c r="C49" s="606" t="s">
        <v>1540</v>
      </c>
      <c r="D49" s="421">
        <f t="shared" ca="1" si="10"/>
        <v>1.2345054938699365</v>
      </c>
      <c r="E49" s="421">
        <f t="shared" ca="1" si="11"/>
        <v>1.7168699752883803</v>
      </c>
      <c r="F49" s="421">
        <f t="shared" ca="1" si="12"/>
        <v>2.5075128660799648</v>
      </c>
      <c r="G49" s="421">
        <f t="shared" ca="1" si="13"/>
        <v>3.0480654805992686</v>
      </c>
      <c r="H49" s="421">
        <f t="shared" ca="1" si="14"/>
        <v>3.4391098610886011</v>
      </c>
      <c r="I49" s="566"/>
    </row>
    <row r="50" spans="2:12" s="3" customFormat="1">
      <c r="B50" s="159">
        <f t="shared" si="9"/>
        <v>14</v>
      </c>
      <c r="C50" s="606" t="s">
        <v>1541</v>
      </c>
      <c r="D50" s="421">
        <f t="shared" ca="1" si="10"/>
        <v>0.77973393934699897</v>
      </c>
      <c r="E50" s="421">
        <f t="shared" ca="1" si="11"/>
        <v>1.084403265781849</v>
      </c>
      <c r="F50" s="421">
        <f t="shared" ca="1" si="12"/>
        <v>1.5837862972182186</v>
      </c>
      <c r="G50" s="421">
        <f t="shared" ca="1" si="13"/>
        <v>1.9252082039139722</v>
      </c>
      <c r="H50" s="421">
        <f t="shared" ca="1" si="14"/>
        <v>2.1721982552118551</v>
      </c>
      <c r="I50" s="566"/>
    </row>
    <row r="51" spans="2:12" s="3" customFormat="1">
      <c r="B51" s="159">
        <f t="shared" si="9"/>
        <v>15</v>
      </c>
      <c r="C51" s="606" t="s">
        <v>1525</v>
      </c>
      <c r="D51" s="421">
        <f t="shared" ca="1" si="10"/>
        <v>0.13758492626879579</v>
      </c>
      <c r="E51" s="421">
        <f t="shared" ca="1" si="11"/>
        <v>0.19134416990131914</v>
      </c>
      <c r="F51" s="421">
        <f t="shared" ca="1" si="12"/>
        <v>0.27946086470313952</v>
      </c>
      <c r="G51" s="421">
        <f t="shared" ca="1" si="13"/>
        <v>0.33970514225584741</v>
      </c>
      <c r="H51" s="421">
        <f t="shared" ca="1" si="14"/>
        <v>0.38328681323634134</v>
      </c>
      <c r="I51" s="566"/>
    </row>
    <row r="52" spans="2:12" s="3" customFormat="1">
      <c r="B52" s="159">
        <f t="shared" si="9"/>
        <v>16</v>
      </c>
      <c r="C52" s="606" t="s">
        <v>1542</v>
      </c>
      <c r="D52" s="421">
        <f t="shared" ca="1" si="10"/>
        <v>8.3258322964798834E-2</v>
      </c>
      <c r="E52" s="421">
        <f t="shared" ca="1" si="11"/>
        <v>0.11579026225555725</v>
      </c>
      <c r="F52" s="421">
        <f t="shared" ca="1" si="12"/>
        <v>0.16911331466660087</v>
      </c>
      <c r="G52" s="421">
        <f t="shared" ca="1" si="13"/>
        <v>0.20556961590024792</v>
      </c>
      <c r="H52" s="421">
        <f t="shared" ca="1" si="14"/>
        <v>0.23194268551072683</v>
      </c>
      <c r="I52" s="566"/>
    </row>
    <row r="53" spans="2:12" s="3" customFormat="1">
      <c r="B53" s="159">
        <f t="shared" si="9"/>
        <v>17</v>
      </c>
      <c r="C53" s="606" t="s">
        <v>1543</v>
      </c>
      <c r="D53" s="421">
        <f t="shared" ca="1" si="10"/>
        <v>3.6821290540284846</v>
      </c>
      <c r="E53" s="421">
        <f t="shared" ca="1" si="11"/>
        <v>5.1208656821615968</v>
      </c>
      <c r="F53" s="421">
        <f t="shared" ca="1" si="12"/>
        <v>7.479096709889598</v>
      </c>
      <c r="G53" s="421">
        <f t="shared" ca="1" si="13"/>
        <v>9.0913896458352426</v>
      </c>
      <c r="H53" s="421">
        <f t="shared" ca="1" si="14"/>
        <v>10.257748063812475</v>
      </c>
      <c r="I53" s="566"/>
    </row>
    <row r="54" spans="2:12" s="3" customFormat="1">
      <c r="B54" s="159">
        <f t="shared" si="9"/>
        <v>18</v>
      </c>
      <c r="C54" s="606" t="s">
        <v>1527</v>
      </c>
      <c r="D54" s="421">
        <f t="shared" ca="1" si="10"/>
        <v>1.6638356832548677</v>
      </c>
      <c r="E54" s="421">
        <f t="shared" ca="1" si="11"/>
        <v>2.3139544883181142</v>
      </c>
      <c r="F54" s="421">
        <f t="shared" ca="1" si="12"/>
        <v>3.3795632368761965</v>
      </c>
      <c r="G54" s="421">
        <f t="shared" ca="1" si="13"/>
        <v>4.1081065549739675</v>
      </c>
      <c r="H54" s="421">
        <f t="shared" ca="1" si="14"/>
        <v>4.6351464079557747</v>
      </c>
      <c r="I54" s="566"/>
    </row>
    <row r="55" spans="2:12" s="3" customFormat="1">
      <c r="B55" s="159">
        <f t="shared" si="9"/>
        <v>19</v>
      </c>
      <c r="C55" s="606" t="s">
        <v>1528</v>
      </c>
      <c r="D55" s="421">
        <f t="shared" ca="1" si="10"/>
        <v>1.696880782051726</v>
      </c>
      <c r="E55" s="421">
        <f t="shared" ca="1" si="11"/>
        <v>2.3599114631849605</v>
      </c>
      <c r="F55" s="421">
        <f t="shared" ca="1" si="12"/>
        <v>3.4466840482500305</v>
      </c>
      <c r="G55" s="421">
        <f t="shared" ca="1" si="13"/>
        <v>4.1896968155648269</v>
      </c>
      <c r="H55" s="421">
        <f t="shared" ca="1" si="14"/>
        <v>4.7272040988265251</v>
      </c>
      <c r="I55" s="566"/>
    </row>
    <row r="56" spans="2:12" s="3" customFormat="1">
      <c r="B56" s="159">
        <f t="shared" si="9"/>
        <v>20</v>
      </c>
      <c r="C56" s="614"/>
      <c r="D56" s="621"/>
      <c r="E56" s="621"/>
      <c r="F56" s="621"/>
      <c r="G56" s="621"/>
      <c r="H56" s="621"/>
      <c r="I56" s="621"/>
    </row>
    <row r="57" spans="2:12" s="3" customFormat="1">
      <c r="B57" s="159">
        <f t="shared" si="9"/>
        <v>21</v>
      </c>
      <c r="C57" s="614"/>
      <c r="D57" s="621"/>
      <c r="E57" s="621"/>
      <c r="F57" s="621"/>
      <c r="G57" s="621"/>
      <c r="H57" s="621"/>
      <c r="I57" s="621"/>
      <c r="L57" s="3">
        <f ca="1">D60*100000</f>
        <v>968.8577603796216</v>
      </c>
    </row>
    <row r="58" spans="2:12" s="3" customFormat="1">
      <c r="B58" s="159">
        <f t="shared" si="9"/>
        <v>22</v>
      </c>
      <c r="C58" s="91" t="s">
        <v>507</v>
      </c>
      <c r="D58" s="4"/>
      <c r="E58" s="4"/>
      <c r="F58" s="4"/>
      <c r="G58" s="4"/>
      <c r="H58" s="4"/>
      <c r="I58" s="4"/>
    </row>
    <row r="59" spans="2:12" s="3" customFormat="1">
      <c r="B59" s="159">
        <f t="shared" si="9"/>
        <v>23</v>
      </c>
      <c r="C59" s="197" t="s">
        <v>235</v>
      </c>
      <c r="D59" s="421">
        <f ca="1">SUM(D39:D58)</f>
        <v>3483.1815885450342</v>
      </c>
      <c r="E59" s="421">
        <f t="shared" ref="E59:H59" ca="1" si="15">SUM(E39:E58)</f>
        <v>4844.1824824153473</v>
      </c>
      <c r="F59" s="421">
        <f t="shared" ca="1" si="15"/>
        <v>7074.9969858698105</v>
      </c>
      <c r="G59" s="421">
        <f t="shared" ca="1" si="15"/>
        <v>8600.1768444309673</v>
      </c>
      <c r="H59" s="421">
        <f t="shared" ca="1" si="15"/>
        <v>9703.5162732046574</v>
      </c>
      <c r="I59" s="4"/>
    </row>
    <row r="60" spans="2:12">
      <c r="C60" s="6" t="s">
        <v>1563</v>
      </c>
      <c r="D60" s="1">
        <f ca="1">(D59/12)/D29</f>
        <v>9.6885776037962165E-3</v>
      </c>
      <c r="E60" s="1">
        <f ca="1">(E59/12)/F29</f>
        <v>1.2832613138510873E-2</v>
      </c>
      <c r="F60" s="1">
        <f t="shared" ref="F60" ca="1" si="16">(F59/12)/F29</f>
        <v>1.8742212871908328E-2</v>
      </c>
      <c r="G60" s="1">
        <f ca="1">(G59/12)/J29</f>
        <v>2.0664428108157586E-2</v>
      </c>
      <c r="H60" s="1">
        <f ca="1">(H59/12)/L29</f>
        <v>2.2205259269514156E-2</v>
      </c>
    </row>
    <row r="61" spans="2:12">
      <c r="C61" s="102" t="s">
        <v>1550</v>
      </c>
      <c r="D61" s="426">
        <f ca="1">D36-D59</f>
        <v>0</v>
      </c>
      <c r="E61" s="426">
        <f t="shared" ref="E61:H61" ca="1" si="17">E36-E59</f>
        <v>0</v>
      </c>
      <c r="F61" s="426">
        <f t="shared" ca="1" si="17"/>
        <v>0</v>
      </c>
      <c r="G61" s="426">
        <f t="shared" ca="1" si="17"/>
        <v>0</v>
      </c>
      <c r="H61" s="426">
        <f t="shared" ca="1" si="17"/>
        <v>0</v>
      </c>
    </row>
    <row r="63" spans="2:12">
      <c r="D63" s="1" t="s">
        <v>114</v>
      </c>
      <c r="E63" s="1" t="s">
        <v>1545</v>
      </c>
      <c r="F63" s="1" t="s">
        <v>1225</v>
      </c>
      <c r="G63" s="1" t="s">
        <v>1226</v>
      </c>
    </row>
    <row r="64" spans="2:12">
      <c r="C64" s="606" t="s">
        <v>1512</v>
      </c>
      <c r="D64" s="426">
        <f>P88</f>
        <v>17700.565156249999</v>
      </c>
      <c r="E64" s="426">
        <f>P107</f>
        <v>20236.826114583328</v>
      </c>
      <c r="F64" s="426">
        <f>P126</f>
        <v>21657.67853029129</v>
      </c>
      <c r="G64" s="426">
        <f>'F12'!Q49</f>
        <v>23299.942140979343</v>
      </c>
    </row>
    <row r="65" spans="3:8">
      <c r="C65" s="606" t="s">
        <v>1533</v>
      </c>
      <c r="D65" s="426">
        <f t="shared" ref="D65:D77" si="18">P89</f>
        <v>657.87330464360411</v>
      </c>
      <c r="E65" s="426">
        <f t="shared" ref="E65:E77" si="19">P108</f>
        <v>742.92304777409993</v>
      </c>
      <c r="F65" s="426">
        <f t="shared" ref="F65:F77" si="20">P127</f>
        <v>840.76851174359581</v>
      </c>
      <c r="G65" s="426">
        <f>'F12'!Q50</f>
        <v>887.88524415390566</v>
      </c>
    </row>
    <row r="66" spans="3:8">
      <c r="C66" s="606" t="s">
        <v>1534</v>
      </c>
      <c r="D66" s="426">
        <f t="shared" si="18"/>
        <v>1217.9604189738923</v>
      </c>
      <c r="E66" s="426">
        <f t="shared" si="19"/>
        <v>1346.7361658408295</v>
      </c>
      <c r="F66" s="426">
        <f t="shared" si="20"/>
        <v>1520.3184966791343</v>
      </c>
      <c r="G66" s="426">
        <f>'F12'!Q51</f>
        <v>1620.5122889019176</v>
      </c>
    </row>
    <row r="67" spans="3:8">
      <c r="C67" s="606" t="s">
        <v>1515</v>
      </c>
      <c r="D67" s="426">
        <f t="shared" si="18"/>
        <v>616.7719263559004</v>
      </c>
      <c r="E67" s="426">
        <f t="shared" si="19"/>
        <v>698.49509163311825</v>
      </c>
      <c r="F67" s="426">
        <f t="shared" si="20"/>
        <v>766.74492025824748</v>
      </c>
      <c r="G67" s="426">
        <f>'F12'!Q52</f>
        <v>809.62212685602651</v>
      </c>
    </row>
    <row r="68" spans="3:8">
      <c r="C68" s="606" t="s">
        <v>1535</v>
      </c>
      <c r="D68" s="426">
        <f t="shared" si="18"/>
        <v>232.45833333333334</v>
      </c>
      <c r="E68" s="426">
        <f t="shared" si="19"/>
        <v>357.75</v>
      </c>
      <c r="F68" s="426">
        <f t="shared" si="20"/>
        <v>465.27687453063868</v>
      </c>
      <c r="G68" s="426">
        <f>'F12'!Q53</f>
        <v>476.29576368417844</v>
      </c>
    </row>
    <row r="69" spans="3:8">
      <c r="C69" s="606" t="s">
        <v>1536</v>
      </c>
      <c r="D69" s="426">
        <f t="shared" si="18"/>
        <v>6.7374462383596105</v>
      </c>
      <c r="E69" s="426">
        <f t="shared" si="19"/>
        <v>6.808906798181094</v>
      </c>
      <c r="F69" s="426">
        <f t="shared" si="20"/>
        <v>8.8263642335825754</v>
      </c>
      <c r="G69" s="426">
        <f>'F12'!Q54</f>
        <v>9.6288927584068791</v>
      </c>
    </row>
    <row r="70" spans="3:8">
      <c r="C70" s="606" t="s">
        <v>1537</v>
      </c>
      <c r="D70" s="426">
        <f t="shared" si="18"/>
        <v>3.0861041529314455</v>
      </c>
      <c r="E70" s="426">
        <f t="shared" si="19"/>
        <v>3.5802600437454259</v>
      </c>
      <c r="F70" s="426">
        <f t="shared" si="20"/>
        <v>4.9591404052703156</v>
      </c>
      <c r="G70" s="426">
        <f>'F12'!Q55</f>
        <v>4.7581209253517445</v>
      </c>
    </row>
    <row r="71" spans="3:8">
      <c r="C71" s="606" t="s">
        <v>1538</v>
      </c>
      <c r="D71" s="426">
        <f t="shared" si="18"/>
        <v>1.6778670681917882</v>
      </c>
      <c r="E71" s="426">
        <f t="shared" si="19"/>
        <v>2.5976908170287145</v>
      </c>
      <c r="F71" s="426">
        <f t="shared" si="20"/>
        <v>4.2261638574231251</v>
      </c>
      <c r="G71" s="426">
        <f>'F12'!Q56</f>
        <v>4.8354931743877367</v>
      </c>
    </row>
    <row r="72" spans="3:8">
      <c r="C72" s="606" t="s">
        <v>1539</v>
      </c>
      <c r="D72" s="426">
        <f t="shared" si="18"/>
        <v>1.3750949106718424</v>
      </c>
      <c r="E72" s="426">
        <f t="shared" si="19"/>
        <v>2.2984357569656573</v>
      </c>
      <c r="F72" s="426">
        <f t="shared" si="20"/>
        <v>3.3330259296032971</v>
      </c>
      <c r="G72" s="426">
        <f>'F12'!Q57</f>
        <v>5.00902343187059</v>
      </c>
    </row>
    <row r="73" spans="3:8">
      <c r="C73" s="606" t="s">
        <v>1524</v>
      </c>
      <c r="D73" s="426">
        <f t="shared" si="18"/>
        <v>10.284458041666666</v>
      </c>
      <c r="E73" s="426">
        <f t="shared" si="19"/>
        <v>11.063210375000002</v>
      </c>
      <c r="F73" s="426">
        <f t="shared" si="20"/>
        <v>12.504652338592978</v>
      </c>
      <c r="G73" s="426">
        <f>'F12'!Q58</f>
        <v>13.642857587808855</v>
      </c>
    </row>
    <row r="74" spans="3:8">
      <c r="C74" s="606" t="s">
        <v>1540</v>
      </c>
      <c r="D74" s="426">
        <f t="shared" si="18"/>
        <v>5.7207455999999999</v>
      </c>
      <c r="E74" s="426">
        <f t="shared" si="19"/>
        <v>5.8168961458333328</v>
      </c>
      <c r="F74" s="426">
        <f t="shared" si="20"/>
        <v>6.8753755588047403</v>
      </c>
      <c r="G74" s="426">
        <f>'F12'!Q59</f>
        <v>7.8086218578848205</v>
      </c>
    </row>
    <row r="75" spans="3:8">
      <c r="C75" s="606" t="s">
        <v>1541</v>
      </c>
      <c r="D75" s="426">
        <f t="shared" si="18"/>
        <v>2.09</v>
      </c>
      <c r="E75" s="426">
        <f t="shared" si="19"/>
        <v>2.4358333333333335</v>
      </c>
      <c r="F75" s="426">
        <f t="shared" si="20"/>
        <v>4.6153764922955736</v>
      </c>
      <c r="G75" s="426">
        <f>'F12'!Q60</f>
        <v>5.5719009025949369</v>
      </c>
    </row>
    <row r="76" spans="3:8">
      <c r="C76" s="606" t="s">
        <v>1525</v>
      </c>
      <c r="D76" s="426">
        <f t="shared" si="18"/>
        <v>0</v>
      </c>
      <c r="E76" s="426">
        <f t="shared" si="19"/>
        <v>0.41392499999999993</v>
      </c>
      <c r="F76" s="426">
        <f t="shared" si="20"/>
        <v>0.90694810225534095</v>
      </c>
      <c r="G76" s="426">
        <f>'F12'!Q61</f>
        <v>1.1110843832780235</v>
      </c>
    </row>
    <row r="77" spans="3:8">
      <c r="C77" s="606" t="s">
        <v>1542</v>
      </c>
      <c r="D77" s="426">
        <f t="shared" si="18"/>
        <v>0.56547128925000001</v>
      </c>
      <c r="E77" s="426">
        <f t="shared" si="19"/>
        <v>0.57301027691666662</v>
      </c>
      <c r="F77" s="426">
        <f t="shared" si="20"/>
        <v>0.60253953577242603</v>
      </c>
      <c r="G77" s="426">
        <f>'F12'!Q62</f>
        <v>0.61456767949111812</v>
      </c>
    </row>
    <row r="78" spans="3:8">
      <c r="C78" s="606" t="s">
        <v>1543</v>
      </c>
      <c r="D78" s="426"/>
      <c r="E78" s="426"/>
      <c r="F78" s="426"/>
      <c r="G78" s="426">
        <f>'F12'!Q63</f>
        <v>26.929475292783405</v>
      </c>
    </row>
    <row r="79" spans="3:8">
      <c r="C79" s="606" t="s">
        <v>1527</v>
      </c>
      <c r="D79" s="426"/>
      <c r="E79" s="426"/>
      <c r="G79" s="426"/>
    </row>
    <row r="80" spans="3:8">
      <c r="C80" s="606" t="s">
        <v>1528</v>
      </c>
      <c r="D80" s="426"/>
      <c r="E80" s="426"/>
      <c r="H80" s="652" t="s">
        <v>1237</v>
      </c>
    </row>
    <row r="81" spans="2:17">
      <c r="C81" s="102" t="s">
        <v>235</v>
      </c>
      <c r="D81" s="426">
        <f>SUM(D64:D80)</f>
        <v>20457.166326857801</v>
      </c>
      <c r="E81" s="426">
        <f t="shared" ref="E81:F81" si="21">SUM(E64:E80)</f>
        <v>23418.318588378381</v>
      </c>
      <c r="F81" s="426">
        <f t="shared" si="21"/>
        <v>25297.636919956509</v>
      </c>
      <c r="G81" s="426">
        <f>SUM(G64:G80)</f>
        <v>27174.167602569232</v>
      </c>
      <c r="H81" s="426">
        <f>G81*(1+5%)</f>
        <v>28532.875982697697</v>
      </c>
      <c r="I81" s="658" t="s">
        <v>1555</v>
      </c>
    </row>
    <row r="82" spans="2:17">
      <c r="G82" s="608">
        <f>((G81/D81)^(1/3))-1</f>
        <v>9.9268013765618113E-2</v>
      </c>
      <c r="H82" s="1" t="s">
        <v>1560</v>
      </c>
    </row>
    <row r="83" spans="2:17">
      <c r="G83" s="608">
        <f>((G81/E81)^(1/2))-1</f>
        <v>7.7209735707733929E-2</v>
      </c>
      <c r="H83" s="1" t="s">
        <v>1561</v>
      </c>
    </row>
    <row r="84" spans="2:17">
      <c r="C84" s="6" t="s">
        <v>566</v>
      </c>
      <c r="G84" s="608">
        <f>(G81/F81)-1</f>
        <v>7.4178101636536153E-2</v>
      </c>
    </row>
    <row r="85" spans="2:17">
      <c r="B85" s="1" t="s">
        <v>495</v>
      </c>
    </row>
    <row r="86" spans="2:17">
      <c r="Q86" s="1" t="s">
        <v>493</v>
      </c>
    </row>
    <row r="87" spans="2:17">
      <c r="B87" s="1" t="s">
        <v>2</v>
      </c>
      <c r="C87" s="102" t="s">
        <v>57</v>
      </c>
      <c r="D87" s="1" t="s">
        <v>470</v>
      </c>
      <c r="E87" s="1" t="s">
        <v>471</v>
      </c>
      <c r="F87" s="1" t="s">
        <v>472</v>
      </c>
      <c r="G87" s="1" t="s">
        <v>473</v>
      </c>
      <c r="H87" s="1" t="s">
        <v>474</v>
      </c>
      <c r="I87" s="1" t="s">
        <v>475</v>
      </c>
      <c r="J87" s="1" t="s">
        <v>476</v>
      </c>
      <c r="K87" s="1" t="s">
        <v>477</v>
      </c>
      <c r="L87" s="1" t="s">
        <v>478</v>
      </c>
      <c r="M87" s="1" t="s">
        <v>479</v>
      </c>
      <c r="N87" s="1" t="s">
        <v>480</v>
      </c>
      <c r="O87" s="1" t="s">
        <v>481</v>
      </c>
      <c r="P87" s="1" t="s">
        <v>235</v>
      </c>
    </row>
    <row r="88" spans="2:17">
      <c r="B88" s="1">
        <v>1</v>
      </c>
      <c r="C88" s="102" t="s">
        <v>1512</v>
      </c>
      <c r="D88" s="426">
        <v>15904.49</v>
      </c>
      <c r="E88" s="426">
        <v>18061.72</v>
      </c>
      <c r="F88" s="426">
        <v>16146.15</v>
      </c>
      <c r="G88" s="426">
        <v>14643.49</v>
      </c>
      <c r="H88" s="426">
        <v>15047</v>
      </c>
      <c r="I88" s="426">
        <v>16007.970000000001</v>
      </c>
      <c r="J88" s="426">
        <v>16701.89</v>
      </c>
      <c r="K88" s="426">
        <v>18806.629999999997</v>
      </c>
      <c r="L88" s="426">
        <v>19861.55</v>
      </c>
      <c r="M88" s="426">
        <v>20120.2575</v>
      </c>
      <c r="N88" s="426">
        <v>19939.714375</v>
      </c>
      <c r="O88" s="426">
        <v>21165.919999999995</v>
      </c>
      <c r="P88" s="426">
        <f>AVERAGE(D88:O88)</f>
        <v>17700.565156249999</v>
      </c>
    </row>
    <row r="89" spans="2:17">
      <c r="B89" s="1">
        <v>2</v>
      </c>
      <c r="C89" s="102" t="s">
        <v>1533</v>
      </c>
      <c r="D89" s="426">
        <v>568.26663967202512</v>
      </c>
      <c r="E89" s="426">
        <v>660.55675683328627</v>
      </c>
      <c r="F89" s="426">
        <v>662.10995873873333</v>
      </c>
      <c r="G89" s="426">
        <v>633.77343611937272</v>
      </c>
      <c r="H89" s="426">
        <v>627.43185434403881</v>
      </c>
      <c r="I89" s="426">
        <v>666.80103103917179</v>
      </c>
      <c r="J89" s="426">
        <v>716.79885816028082</v>
      </c>
      <c r="K89" s="426">
        <v>704.90815439753203</v>
      </c>
      <c r="L89" s="426">
        <v>666.2896014355199</v>
      </c>
      <c r="M89" s="426">
        <v>614.28283380554956</v>
      </c>
      <c r="N89" s="426">
        <v>658.47051062114201</v>
      </c>
      <c r="O89" s="426">
        <v>714.79002055659794</v>
      </c>
      <c r="P89" s="426">
        <f t="shared" ref="P89:P101" si="22">AVERAGE(D89:O89)</f>
        <v>657.87330464360411</v>
      </c>
    </row>
    <row r="90" spans="2:17">
      <c r="B90" s="1">
        <v>3</v>
      </c>
      <c r="C90" s="102" t="s">
        <v>1546</v>
      </c>
      <c r="D90" s="426">
        <v>1159.4178258629572</v>
      </c>
      <c r="E90" s="426">
        <v>1247.0542795344527</v>
      </c>
      <c r="F90" s="426">
        <v>1216.268649037967</v>
      </c>
      <c r="G90" s="426">
        <v>1029.9141917582983</v>
      </c>
      <c r="H90" s="426">
        <v>1036.8537590113285</v>
      </c>
      <c r="I90" s="426">
        <v>1221.562467813369</v>
      </c>
      <c r="J90" s="426">
        <v>1305.6838091311963</v>
      </c>
      <c r="K90" s="426">
        <v>1225.2224510813594</v>
      </c>
      <c r="L90" s="426">
        <v>1217.9246349989717</v>
      </c>
      <c r="M90" s="426">
        <v>1254.3041237113403</v>
      </c>
      <c r="N90" s="426">
        <v>1290.0165101640698</v>
      </c>
      <c r="O90" s="426">
        <v>1411.3023255813953</v>
      </c>
      <c r="P90" s="426">
        <f t="shared" si="22"/>
        <v>1217.9604189738923</v>
      </c>
    </row>
    <row r="91" spans="2:17">
      <c r="B91" s="1">
        <v>4</v>
      </c>
      <c r="C91" s="102" t="s">
        <v>1515</v>
      </c>
      <c r="D91" s="426">
        <v>528.32213910355472</v>
      </c>
      <c r="E91" s="426">
        <v>564.4413286641261</v>
      </c>
      <c r="F91" s="426">
        <v>579.52808519394989</v>
      </c>
      <c r="G91" s="426">
        <v>558.01384235946966</v>
      </c>
      <c r="H91" s="426">
        <v>558.92095571575692</v>
      </c>
      <c r="I91" s="426">
        <v>619.46020393449385</v>
      </c>
      <c r="J91" s="426">
        <v>687.01576419664025</v>
      </c>
      <c r="K91" s="426">
        <v>654.0227353244079</v>
      </c>
      <c r="L91" s="426">
        <v>645.5619165124408</v>
      </c>
      <c r="M91" s="426">
        <v>629.10082051546397</v>
      </c>
      <c r="N91" s="426">
        <v>652.62831493137969</v>
      </c>
      <c r="O91" s="426">
        <v>724.24700981912144</v>
      </c>
      <c r="P91" s="426">
        <f t="shared" si="22"/>
        <v>616.7719263559004</v>
      </c>
    </row>
    <row r="92" spans="2:17">
      <c r="B92" s="1">
        <v>5</v>
      </c>
      <c r="C92" s="102" t="s">
        <v>1535</v>
      </c>
      <c r="D92" s="426">
        <v>98</v>
      </c>
      <c r="E92" s="426">
        <v>166.5</v>
      </c>
      <c r="F92" s="426">
        <v>176.5</v>
      </c>
      <c r="G92" s="426">
        <v>168</v>
      </c>
      <c r="H92" s="426">
        <v>180</v>
      </c>
      <c r="I92" s="426">
        <v>197.5</v>
      </c>
      <c r="J92" s="426">
        <v>226</v>
      </c>
      <c r="K92" s="426">
        <v>287.5</v>
      </c>
      <c r="L92" s="426">
        <v>307.5</v>
      </c>
      <c r="M92" s="426">
        <v>314</v>
      </c>
      <c r="N92" s="426">
        <v>323.5</v>
      </c>
      <c r="O92" s="426">
        <v>344.5</v>
      </c>
      <c r="P92" s="426">
        <f t="shared" si="22"/>
        <v>232.45833333333334</v>
      </c>
    </row>
    <row r="93" spans="2:17">
      <c r="B93" s="1">
        <v>6</v>
      </c>
      <c r="C93" s="102" t="s">
        <v>1536</v>
      </c>
      <c r="D93" s="426">
        <v>6.2751159196290569</v>
      </c>
      <c r="E93" s="426">
        <v>7.1253476156143787</v>
      </c>
      <c r="F93" s="426">
        <v>7.4699043111431216</v>
      </c>
      <c r="G93" s="426">
        <v>6.1432535196793756</v>
      </c>
      <c r="H93" s="426">
        <v>6.2080329557157565</v>
      </c>
      <c r="I93" s="426">
        <v>6.0716860644762587</v>
      </c>
      <c r="J93" s="426">
        <v>6.999896939091002</v>
      </c>
      <c r="K93" s="426">
        <v>7.0792996910401644</v>
      </c>
      <c r="L93" s="426">
        <v>6.7715402015216934</v>
      </c>
      <c r="M93" s="426">
        <v>6.6288659793814437</v>
      </c>
      <c r="N93" s="426">
        <v>6.9198225157362501</v>
      </c>
      <c r="O93" s="426">
        <v>7.1565891472868213</v>
      </c>
      <c r="P93" s="426">
        <f t="shared" si="22"/>
        <v>6.7374462383596105</v>
      </c>
    </row>
    <row r="94" spans="2:17">
      <c r="B94" s="1">
        <v>7</v>
      </c>
      <c r="C94" s="102" t="s">
        <v>1547</v>
      </c>
      <c r="D94" s="426">
        <v>2.9108706852138075</v>
      </c>
      <c r="E94" s="426">
        <v>3.0332681017612524</v>
      </c>
      <c r="F94" s="426">
        <v>3.6526391604074497</v>
      </c>
      <c r="G94" s="426">
        <v>3.0829308395848321</v>
      </c>
      <c r="H94" s="426">
        <v>2.9454170957775485</v>
      </c>
      <c r="I94" s="426">
        <v>2.9972190750849723</v>
      </c>
      <c r="J94" s="426">
        <v>3.1072864062661032</v>
      </c>
      <c r="K94" s="426">
        <v>3.1822863027806383</v>
      </c>
      <c r="L94" s="426">
        <v>3.0228254164096233</v>
      </c>
      <c r="M94" s="426">
        <v>2.9329896907216497</v>
      </c>
      <c r="N94" s="426">
        <v>3.0389020740893615</v>
      </c>
      <c r="O94" s="426">
        <v>3.126614987080103</v>
      </c>
      <c r="P94" s="426">
        <f t="shared" si="22"/>
        <v>3.0861041529314455</v>
      </c>
    </row>
    <row r="95" spans="2:17">
      <c r="B95" s="1">
        <v>8</v>
      </c>
      <c r="C95" s="102" t="s">
        <v>1548</v>
      </c>
      <c r="D95" s="426">
        <v>1.0446161772282327</v>
      </c>
      <c r="E95" s="426">
        <v>1.3068287156246783</v>
      </c>
      <c r="F95" s="426">
        <v>1.3556950303529169</v>
      </c>
      <c r="G95" s="426">
        <v>1.1733634775459869</v>
      </c>
      <c r="H95" s="426">
        <v>1.421112255406797</v>
      </c>
      <c r="I95" s="426">
        <v>1.7290143166134513</v>
      </c>
      <c r="J95" s="426">
        <v>1.7958363392765124</v>
      </c>
      <c r="K95" s="426">
        <v>1.7324407826982493</v>
      </c>
      <c r="L95" s="426">
        <v>1.9193913222290768</v>
      </c>
      <c r="M95" s="426">
        <v>2.0623711340206183</v>
      </c>
      <c r="N95" s="426">
        <v>2.2882055515426689</v>
      </c>
      <c r="O95" s="426">
        <v>2.3055297157622734</v>
      </c>
      <c r="P95" s="426">
        <f t="shared" si="22"/>
        <v>1.6778670681917882</v>
      </c>
    </row>
    <row r="96" spans="2:17">
      <c r="B96" s="1">
        <v>9</v>
      </c>
      <c r="C96" s="102" t="s">
        <v>1539</v>
      </c>
      <c r="D96" s="426">
        <v>0.33487892838742916</v>
      </c>
      <c r="E96" s="426">
        <v>0.45318776393037385</v>
      </c>
      <c r="F96" s="426">
        <v>0.78197345405905949</v>
      </c>
      <c r="G96" s="426">
        <v>1.474668584934745</v>
      </c>
      <c r="H96" s="426">
        <v>1.6323377960865086</v>
      </c>
      <c r="I96" s="426">
        <v>1.7870017509527243</v>
      </c>
      <c r="J96" s="426">
        <v>1.7778006802019992</v>
      </c>
      <c r="K96" s="426">
        <v>1.8280123583934089</v>
      </c>
      <c r="L96" s="426">
        <v>1.3417643429981492</v>
      </c>
      <c r="M96" s="426">
        <v>1.4536082474226806</v>
      </c>
      <c r="N96" s="426">
        <v>1.4136827984728098</v>
      </c>
      <c r="O96" s="426">
        <v>2.2222222222222219</v>
      </c>
      <c r="P96" s="426">
        <f t="shared" si="22"/>
        <v>1.3750949106718424</v>
      </c>
    </row>
    <row r="97" spans="2:17">
      <c r="B97" s="1">
        <v>10</v>
      </c>
      <c r="C97" s="102" t="s">
        <v>1524</v>
      </c>
      <c r="D97" s="426">
        <v>9.4096299999999999</v>
      </c>
      <c r="E97" s="426">
        <v>11.669993999999999</v>
      </c>
      <c r="F97" s="426">
        <v>11.905398000000002</v>
      </c>
      <c r="G97" s="426">
        <v>11.588566499999999</v>
      </c>
      <c r="H97" s="426">
        <v>9.5131049999999995</v>
      </c>
      <c r="I97" s="426">
        <v>11.577375</v>
      </c>
      <c r="J97" s="426">
        <v>11.409075999999999</v>
      </c>
      <c r="K97" s="426">
        <v>9.4976699999999994</v>
      </c>
      <c r="L97" s="426">
        <v>9.0000239999999998</v>
      </c>
      <c r="M97" s="426">
        <v>8.4253999999999998</v>
      </c>
      <c r="N97" s="426">
        <v>9.2729454999999987</v>
      </c>
      <c r="O97" s="426">
        <v>10.1443125</v>
      </c>
      <c r="P97" s="426">
        <f t="shared" si="22"/>
        <v>10.284458041666666</v>
      </c>
    </row>
    <row r="98" spans="2:17">
      <c r="B98" s="1">
        <v>11</v>
      </c>
      <c r="C98" s="102" t="s">
        <v>1540</v>
      </c>
      <c r="D98" s="426" t="s">
        <v>1544</v>
      </c>
      <c r="E98" s="426" t="s">
        <v>1544</v>
      </c>
      <c r="F98" s="426" t="s">
        <v>1544</v>
      </c>
      <c r="G98" s="426" t="s">
        <v>1544</v>
      </c>
      <c r="H98" s="426" t="s">
        <v>1544</v>
      </c>
      <c r="I98" s="426" t="s">
        <v>1544</v>
      </c>
      <c r="J98" s="426" t="s">
        <v>1544</v>
      </c>
      <c r="K98" s="426">
        <v>5.6899999999999995</v>
      </c>
      <c r="L98" s="426">
        <v>5.49</v>
      </c>
      <c r="M98" s="426">
        <v>5.4450000000000003</v>
      </c>
      <c r="N98" s="426">
        <v>5.6449999999999996</v>
      </c>
      <c r="O98" s="426">
        <v>6.3337279999999998</v>
      </c>
      <c r="P98" s="426">
        <f t="shared" si="22"/>
        <v>5.7207455999999999</v>
      </c>
    </row>
    <row r="99" spans="2:17">
      <c r="B99" s="1">
        <v>12</v>
      </c>
      <c r="C99" s="102" t="s">
        <v>1541</v>
      </c>
      <c r="D99" s="426" t="s">
        <v>1544</v>
      </c>
      <c r="E99" s="426" t="s">
        <v>1544</v>
      </c>
      <c r="F99" s="426" t="s">
        <v>1544</v>
      </c>
      <c r="G99" s="426" t="s">
        <v>1544</v>
      </c>
      <c r="H99" s="426" t="s">
        <v>1544</v>
      </c>
      <c r="I99" s="426" t="s">
        <v>1544</v>
      </c>
      <c r="J99" s="426" t="s">
        <v>1544</v>
      </c>
      <c r="K99" s="426" t="s">
        <v>1544</v>
      </c>
      <c r="L99" s="426" t="s">
        <v>1544</v>
      </c>
      <c r="M99" s="426" t="s">
        <v>1544</v>
      </c>
      <c r="N99" s="426" t="s">
        <v>1544</v>
      </c>
      <c r="O99" s="426">
        <v>2.09</v>
      </c>
      <c r="P99" s="426">
        <f t="shared" si="22"/>
        <v>2.09</v>
      </c>
    </row>
    <row r="100" spans="2:17">
      <c r="B100" s="1">
        <v>13</v>
      </c>
      <c r="C100" s="102" t="s">
        <v>1525</v>
      </c>
      <c r="D100" s="426" t="s">
        <v>1544</v>
      </c>
      <c r="E100" s="426" t="s">
        <v>1544</v>
      </c>
      <c r="F100" s="426" t="s">
        <v>1544</v>
      </c>
      <c r="G100" s="426" t="s">
        <v>1544</v>
      </c>
      <c r="H100" s="426" t="s">
        <v>1544</v>
      </c>
      <c r="I100" s="426" t="s">
        <v>1544</v>
      </c>
      <c r="J100" s="426" t="s">
        <v>1544</v>
      </c>
      <c r="K100" s="426" t="s">
        <v>1544</v>
      </c>
      <c r="L100" s="426" t="s">
        <v>1544</v>
      </c>
      <c r="M100" s="426" t="s">
        <v>1544</v>
      </c>
      <c r="N100" s="426" t="s">
        <v>1544</v>
      </c>
      <c r="O100" s="426" t="s">
        <v>1544</v>
      </c>
      <c r="P100" s="426">
        <v>0</v>
      </c>
    </row>
    <row r="101" spans="2:17">
      <c r="B101" s="1">
        <v>14</v>
      </c>
      <c r="C101" s="102" t="s">
        <v>1542</v>
      </c>
      <c r="D101" s="426" t="s">
        <v>1544</v>
      </c>
      <c r="E101" s="426" t="s">
        <v>1544</v>
      </c>
      <c r="F101" s="426" t="s">
        <v>1544</v>
      </c>
      <c r="G101" s="426" t="s">
        <v>1544</v>
      </c>
      <c r="H101" s="426" t="s">
        <v>1544</v>
      </c>
      <c r="I101" s="426" t="s">
        <v>1544</v>
      </c>
      <c r="J101" s="426" t="s">
        <v>1544</v>
      </c>
      <c r="K101" s="426" t="s">
        <v>1544</v>
      </c>
      <c r="L101" s="426" t="s">
        <v>1544</v>
      </c>
      <c r="M101" s="426" t="s">
        <v>1544</v>
      </c>
      <c r="N101" s="426">
        <v>0.54623782850000002</v>
      </c>
      <c r="O101" s="426">
        <v>0.58470475</v>
      </c>
      <c r="P101" s="426">
        <f t="shared" si="22"/>
        <v>0.56547128925000001</v>
      </c>
    </row>
    <row r="103" spans="2:17">
      <c r="C103" s="6" t="s">
        <v>567</v>
      </c>
    </row>
    <row r="104" spans="2:17">
      <c r="B104" s="1" t="s">
        <v>495</v>
      </c>
    </row>
    <row r="105" spans="2:17">
      <c r="Q105" s="1" t="s">
        <v>493</v>
      </c>
    </row>
    <row r="106" spans="2:17">
      <c r="B106" s="1" t="s">
        <v>2</v>
      </c>
      <c r="C106" s="102" t="s">
        <v>57</v>
      </c>
      <c r="D106" s="1" t="s">
        <v>470</v>
      </c>
      <c r="E106" s="1" t="s">
        <v>471</v>
      </c>
      <c r="F106" s="1" t="s">
        <v>472</v>
      </c>
      <c r="G106" s="1" t="s">
        <v>473</v>
      </c>
      <c r="H106" s="1" t="s">
        <v>474</v>
      </c>
      <c r="I106" s="1" t="s">
        <v>475</v>
      </c>
      <c r="J106" s="1" t="s">
        <v>476</v>
      </c>
      <c r="K106" s="1" t="s">
        <v>477</v>
      </c>
      <c r="L106" s="1" t="s">
        <v>478</v>
      </c>
      <c r="M106" s="1" t="s">
        <v>479</v>
      </c>
      <c r="N106" s="1" t="s">
        <v>480</v>
      </c>
      <c r="O106" s="1" t="s">
        <v>481</v>
      </c>
      <c r="P106" s="1" t="s">
        <v>235</v>
      </c>
    </row>
    <row r="107" spans="2:17">
      <c r="B107" s="1">
        <v>1</v>
      </c>
      <c r="C107" s="102" t="s">
        <v>1512</v>
      </c>
      <c r="D107" s="426">
        <v>21464.2075</v>
      </c>
      <c r="E107" s="426">
        <v>19320.980000000003</v>
      </c>
      <c r="F107" s="426">
        <v>17132.855624999997</v>
      </c>
      <c r="G107" s="426">
        <v>19588.18</v>
      </c>
      <c r="H107" s="426">
        <v>19813.572499999998</v>
      </c>
      <c r="I107" s="426">
        <v>17686.817500000001</v>
      </c>
      <c r="J107" s="426">
        <v>18424.114000000001</v>
      </c>
      <c r="K107" s="426">
        <v>20445.297500000001</v>
      </c>
      <c r="L107" s="426">
        <v>20874.651250000003</v>
      </c>
      <c r="M107" s="426">
        <v>21932.4575</v>
      </c>
      <c r="N107" s="426">
        <v>22540.73</v>
      </c>
      <c r="O107" s="426">
        <v>23618.050000000003</v>
      </c>
      <c r="P107" s="426">
        <f>AVERAGE(D107:O107)</f>
        <v>20236.826114583328</v>
      </c>
    </row>
    <row r="108" spans="2:17">
      <c r="B108" s="1">
        <v>2</v>
      </c>
      <c r="C108" s="102" t="s">
        <v>1533</v>
      </c>
      <c r="D108" s="426">
        <v>691.6115611754019</v>
      </c>
      <c r="E108" s="426">
        <v>696.23589391879023</v>
      </c>
      <c r="F108" s="426">
        <v>697.94731226381555</v>
      </c>
      <c r="G108" s="426">
        <v>724.12134013212858</v>
      </c>
      <c r="H108" s="426">
        <v>725.86041188319314</v>
      </c>
      <c r="I108" s="426">
        <v>759.27072995036212</v>
      </c>
      <c r="J108" s="426">
        <v>852.50554301652551</v>
      </c>
      <c r="K108" s="426">
        <v>823.39721459598616</v>
      </c>
      <c r="L108" s="426">
        <v>700.96517093890361</v>
      </c>
      <c r="M108" s="426">
        <v>650.70644367832756</v>
      </c>
      <c r="N108" s="426">
        <v>728.15854067884948</v>
      </c>
      <c r="O108" s="426">
        <v>864.29641105691576</v>
      </c>
      <c r="P108" s="426">
        <f t="shared" ref="P108:P120" si="23">AVERAGE(D108:O108)</f>
        <v>742.92304777409993</v>
      </c>
    </row>
    <row r="109" spans="2:17">
      <c r="B109" s="1">
        <v>3</v>
      </c>
      <c r="C109" s="102" t="s">
        <v>1534</v>
      </c>
      <c r="D109" s="426">
        <v>1352.5872753563312</v>
      </c>
      <c r="E109" s="426">
        <v>1378.724389992793</v>
      </c>
      <c r="F109" s="426">
        <v>1312.4521864985011</v>
      </c>
      <c r="G109" s="426">
        <v>1402.7628311258277</v>
      </c>
      <c r="H109" s="426">
        <v>1352.5569358178054</v>
      </c>
      <c r="I109" s="426">
        <v>1355.6967255448817</v>
      </c>
      <c r="J109" s="426">
        <v>1415.6688687035507</v>
      </c>
      <c r="K109" s="426">
        <v>1436.9858733759538</v>
      </c>
      <c r="L109" s="426">
        <v>1231.9758247422681</v>
      </c>
      <c r="M109" s="426">
        <v>1196.0855713140518</v>
      </c>
      <c r="N109" s="426">
        <v>1228.9176199344479</v>
      </c>
      <c r="O109" s="426">
        <v>1496.4198876835417</v>
      </c>
      <c r="P109" s="426">
        <f t="shared" si="23"/>
        <v>1346.7361658408295</v>
      </c>
    </row>
    <row r="110" spans="2:17">
      <c r="B110" s="1">
        <v>4</v>
      </c>
      <c r="C110" s="102" t="s">
        <v>1515</v>
      </c>
      <c r="D110" s="426">
        <v>693.33157818632526</v>
      </c>
      <c r="E110" s="426">
        <v>660.69139297848244</v>
      </c>
      <c r="F110" s="426">
        <v>700.40085805851334</v>
      </c>
      <c r="G110" s="426">
        <v>741.23237996688738</v>
      </c>
      <c r="H110" s="426">
        <v>711.13498343685296</v>
      </c>
      <c r="I110" s="426">
        <v>713.23789563061678</v>
      </c>
      <c r="J110" s="426">
        <v>752.78003061519405</v>
      </c>
      <c r="K110" s="426">
        <v>761.34281913796667</v>
      </c>
      <c r="L110" s="426">
        <v>634.47323505154645</v>
      </c>
      <c r="M110" s="426">
        <v>593.62880462857743</v>
      </c>
      <c r="N110" s="426">
        <v>635.06686743247428</v>
      </c>
      <c r="O110" s="426">
        <v>784.62025447398355</v>
      </c>
      <c r="P110" s="426">
        <f t="shared" si="23"/>
        <v>698.49509163311825</v>
      </c>
    </row>
    <row r="111" spans="2:17">
      <c r="B111" s="1">
        <v>5</v>
      </c>
      <c r="C111" s="102" t="s">
        <v>1535</v>
      </c>
      <c r="D111" s="426">
        <v>330.5</v>
      </c>
      <c r="E111" s="426">
        <v>327.5</v>
      </c>
      <c r="F111" s="426">
        <v>318.5</v>
      </c>
      <c r="G111" s="426">
        <v>351</v>
      </c>
      <c r="H111" s="426">
        <v>371</v>
      </c>
      <c r="I111" s="426">
        <v>348.5</v>
      </c>
      <c r="J111" s="426">
        <v>368</v>
      </c>
      <c r="K111" s="426">
        <v>375</v>
      </c>
      <c r="L111" s="426">
        <v>367.5</v>
      </c>
      <c r="M111" s="426">
        <v>366</v>
      </c>
      <c r="N111" s="426">
        <v>368</v>
      </c>
      <c r="O111" s="426">
        <v>401.5</v>
      </c>
      <c r="P111" s="426">
        <f t="shared" si="23"/>
        <v>357.75</v>
      </c>
    </row>
    <row r="112" spans="2:17">
      <c r="B112" s="1">
        <v>6</v>
      </c>
      <c r="C112" s="102" t="s">
        <v>1536</v>
      </c>
      <c r="D112" s="426">
        <v>6.7176203263788477</v>
      </c>
      <c r="E112" s="426">
        <v>6.3415010810254291</v>
      </c>
      <c r="F112" s="426">
        <v>6.8934146593611079</v>
      </c>
      <c r="G112" s="426">
        <v>6.4548841059602644</v>
      </c>
      <c r="H112" s="426">
        <v>6.4120082815734989</v>
      </c>
      <c r="I112" s="426">
        <v>6.5241194091519468</v>
      </c>
      <c r="J112" s="426">
        <v>7.2739471511147809</v>
      </c>
      <c r="K112" s="426">
        <v>7.424211177562384</v>
      </c>
      <c r="L112" s="426">
        <v>6.779381443298969</v>
      </c>
      <c r="M112" s="426">
        <v>5.9871887591693351</v>
      </c>
      <c r="N112" s="426">
        <v>6.204077408672255</v>
      </c>
      <c r="O112" s="426">
        <v>8.6945277749043139</v>
      </c>
      <c r="P112" s="426">
        <f t="shared" si="23"/>
        <v>6.808906798181094</v>
      </c>
    </row>
    <row r="113" spans="2:17">
      <c r="B113" s="1">
        <v>7</v>
      </c>
      <c r="C113" s="102" t="s">
        <v>1537</v>
      </c>
      <c r="D113" s="426">
        <v>3.2586242511877712</v>
      </c>
      <c r="E113" s="426">
        <v>2.8364048182847732</v>
      </c>
      <c r="F113" s="426">
        <v>3.0755711775043935</v>
      </c>
      <c r="G113" s="426">
        <v>3.2802152317880795</v>
      </c>
      <c r="H113" s="426">
        <v>3.4420289855072461</v>
      </c>
      <c r="I113" s="426">
        <v>3.5481871707468238</v>
      </c>
      <c r="J113" s="426">
        <v>4.0772089182493811</v>
      </c>
      <c r="K113" s="426">
        <v>4.1658073829655597</v>
      </c>
      <c r="L113" s="426">
        <v>3.6443298969072164</v>
      </c>
      <c r="M113" s="426">
        <v>3.4146089472052901</v>
      </c>
      <c r="N113" s="426">
        <v>3.5082272586153369</v>
      </c>
      <c r="O113" s="426">
        <v>4.711906485983242</v>
      </c>
      <c r="P113" s="426">
        <f t="shared" si="23"/>
        <v>3.5802600437454259</v>
      </c>
    </row>
    <row r="114" spans="2:17">
      <c r="B114" s="1">
        <v>8</v>
      </c>
      <c r="C114" s="102" t="s">
        <v>1538</v>
      </c>
      <c r="D114" s="426">
        <v>2.0729188184259453</v>
      </c>
      <c r="E114" s="426">
        <v>1.8540100895706781</v>
      </c>
      <c r="F114" s="426">
        <v>2.1080326682518349</v>
      </c>
      <c r="G114" s="426">
        <v>2.444846854304636</v>
      </c>
      <c r="H114" s="426">
        <v>2.2944099378881986</v>
      </c>
      <c r="I114" s="426">
        <v>2.5421960541266397</v>
      </c>
      <c r="J114" s="426">
        <v>2.4876135425268373</v>
      </c>
      <c r="K114" s="426">
        <v>3.587853165601155</v>
      </c>
      <c r="L114" s="426">
        <v>2.8324742268041239</v>
      </c>
      <c r="M114" s="426">
        <v>2.1252195474739128</v>
      </c>
      <c r="N114" s="426">
        <v>2.7962330539170028</v>
      </c>
      <c r="O114" s="426">
        <v>4.0264818454536053</v>
      </c>
      <c r="P114" s="426">
        <f t="shared" si="23"/>
        <v>2.5976908170287145</v>
      </c>
    </row>
    <row r="115" spans="2:17">
      <c r="B115" s="1">
        <v>9</v>
      </c>
      <c r="C115" s="102" t="s">
        <v>1539</v>
      </c>
      <c r="D115" s="426">
        <v>3.0675480272670939</v>
      </c>
      <c r="E115" s="426">
        <v>2.5481313703284258</v>
      </c>
      <c r="F115" s="426">
        <v>1.9849064406078774</v>
      </c>
      <c r="G115" s="426">
        <v>1.9919288079470197</v>
      </c>
      <c r="H115" s="426">
        <v>1.9254658385093169</v>
      </c>
      <c r="I115" s="426">
        <v>2.0297489928726371</v>
      </c>
      <c r="J115" s="426">
        <v>2.1315028901734103</v>
      </c>
      <c r="K115" s="426">
        <v>2.1705506289956689</v>
      </c>
      <c r="L115" s="426">
        <v>1.7577319587628866</v>
      </c>
      <c r="M115" s="426">
        <v>2.3246203120157043</v>
      </c>
      <c r="N115" s="426">
        <v>2.4474800786505222</v>
      </c>
      <c r="O115" s="426">
        <v>3.201613737457329</v>
      </c>
      <c r="P115" s="426">
        <f t="shared" si="23"/>
        <v>2.2984357569656573</v>
      </c>
    </row>
    <row r="116" spans="2:17">
      <c r="B116" s="1">
        <v>10</v>
      </c>
      <c r="C116" s="102" t="s">
        <v>1524</v>
      </c>
      <c r="D116" s="426">
        <v>11.133122</v>
      </c>
      <c r="E116" s="426">
        <v>12.015215999999999</v>
      </c>
      <c r="F116" s="426">
        <v>12.351092000000001</v>
      </c>
      <c r="G116" s="426">
        <v>12.532399999999999</v>
      </c>
      <c r="H116" s="426">
        <v>12.36664</v>
      </c>
      <c r="I116" s="426">
        <v>11.4386115</v>
      </c>
      <c r="J116" s="426">
        <v>10.899784</v>
      </c>
      <c r="K116" s="426">
        <v>11.095254000000001</v>
      </c>
      <c r="L116" s="426">
        <v>8.8322500000000002</v>
      </c>
      <c r="M116" s="426">
        <v>8.3909729999999989</v>
      </c>
      <c r="N116" s="426">
        <v>10.032058500000002</v>
      </c>
      <c r="O116" s="426">
        <v>11.6711235</v>
      </c>
      <c r="P116" s="426">
        <f t="shared" si="23"/>
        <v>11.063210375000002</v>
      </c>
    </row>
    <row r="117" spans="2:17">
      <c r="B117" s="1">
        <v>11</v>
      </c>
      <c r="C117" s="102" t="s">
        <v>1540</v>
      </c>
      <c r="D117" s="426">
        <v>6.0354864999999993</v>
      </c>
      <c r="E117" s="426">
        <v>5.7993142500000001</v>
      </c>
      <c r="F117" s="426">
        <v>5.4950000000000001</v>
      </c>
      <c r="G117" s="426">
        <v>5.2921042499999995</v>
      </c>
      <c r="H117" s="426">
        <v>5.5251559999999991</v>
      </c>
      <c r="I117" s="426">
        <v>5.3912502500000006</v>
      </c>
      <c r="J117" s="426">
        <v>6.0134042499999998</v>
      </c>
      <c r="K117" s="426">
        <v>6.3288859999999998</v>
      </c>
      <c r="L117" s="426">
        <v>5.4971522500000001</v>
      </c>
      <c r="M117" s="426">
        <v>4.9249999999999998</v>
      </c>
      <c r="N117" s="426">
        <v>5.915</v>
      </c>
      <c r="O117" s="426">
        <v>7.585</v>
      </c>
      <c r="P117" s="426">
        <f t="shared" si="23"/>
        <v>5.8168961458333328</v>
      </c>
    </row>
    <row r="118" spans="2:17">
      <c r="B118" s="1">
        <v>12</v>
      </c>
      <c r="C118" s="102" t="s">
        <v>1541</v>
      </c>
      <c r="D118" s="426">
        <v>2.1749999999999998</v>
      </c>
      <c r="E118" s="426">
        <v>2.0950000000000002</v>
      </c>
      <c r="F118" s="426">
        <v>2.25</v>
      </c>
      <c r="G118" s="426">
        <v>2.25</v>
      </c>
      <c r="H118" s="426">
        <v>2.0150000000000001</v>
      </c>
      <c r="I118" s="426">
        <v>2.085</v>
      </c>
      <c r="J118" s="426">
        <v>2.2400000000000002</v>
      </c>
      <c r="K118" s="426">
        <v>2.8099999999999996</v>
      </c>
      <c r="L118" s="426">
        <v>2.5099999999999998</v>
      </c>
      <c r="M118" s="426">
        <v>1.855</v>
      </c>
      <c r="N118" s="426">
        <v>2.8899999999999997</v>
      </c>
      <c r="O118" s="426">
        <v>4.0549999999999997</v>
      </c>
      <c r="P118" s="426">
        <f t="shared" si="23"/>
        <v>2.4358333333333335</v>
      </c>
    </row>
    <row r="119" spans="2:17">
      <c r="B119" s="1">
        <v>13</v>
      </c>
      <c r="C119" s="102" t="s">
        <v>1525</v>
      </c>
      <c r="D119" s="426" t="s">
        <v>1544</v>
      </c>
      <c r="E119" s="426" t="s">
        <v>1544</v>
      </c>
      <c r="F119" s="426" t="s">
        <v>1544</v>
      </c>
      <c r="G119" s="426" t="s">
        <v>1544</v>
      </c>
      <c r="H119" s="426">
        <v>0.19400000000000001</v>
      </c>
      <c r="I119" s="426">
        <v>0.24689999999999998</v>
      </c>
      <c r="J119" s="426">
        <v>0.36619999999999997</v>
      </c>
      <c r="K119" s="426">
        <v>0.37519999999999998</v>
      </c>
      <c r="L119" s="426">
        <v>0.44</v>
      </c>
      <c r="M119" s="426">
        <v>0.47710000000000002</v>
      </c>
      <c r="N119" s="426">
        <v>0.54869999999999997</v>
      </c>
      <c r="O119" s="426">
        <v>0.6633</v>
      </c>
      <c r="P119" s="426">
        <f t="shared" si="23"/>
        <v>0.41392499999999993</v>
      </c>
    </row>
    <row r="120" spans="2:17">
      <c r="B120" s="1">
        <v>14</v>
      </c>
      <c r="C120" s="102" t="s">
        <v>1542</v>
      </c>
      <c r="D120" s="426">
        <v>0.62858287800000001</v>
      </c>
      <c r="E120" s="426">
        <v>0.60810571799999991</v>
      </c>
      <c r="F120" s="426">
        <v>0.60265273899999994</v>
      </c>
      <c r="G120" s="426">
        <v>0.583927152</v>
      </c>
      <c r="H120" s="426">
        <v>0.54734273</v>
      </c>
      <c r="I120" s="426">
        <v>0.56036297599999996</v>
      </c>
      <c r="J120" s="426">
        <v>0.56597927599999998</v>
      </c>
      <c r="K120" s="426">
        <v>0.58800725399999998</v>
      </c>
      <c r="L120" s="426">
        <v>0.51755439999999997</v>
      </c>
      <c r="M120" s="426">
        <v>0.48457094999999994</v>
      </c>
      <c r="N120" s="426">
        <v>0.58300680000000005</v>
      </c>
      <c r="O120" s="426">
        <v>0.60603045000000011</v>
      </c>
      <c r="P120" s="426">
        <f t="shared" si="23"/>
        <v>0.57301027691666662</v>
      </c>
    </row>
    <row r="122" spans="2:17">
      <c r="C122" s="6" t="s">
        <v>1225</v>
      </c>
    </row>
    <row r="123" spans="2:17">
      <c r="B123" s="1" t="s">
        <v>495</v>
      </c>
    </row>
    <row r="124" spans="2:17">
      <c r="Q124" s="1" t="s">
        <v>493</v>
      </c>
    </row>
    <row r="125" spans="2:17">
      <c r="B125" s="1" t="s">
        <v>2</v>
      </c>
      <c r="C125" s="102" t="s">
        <v>57</v>
      </c>
      <c r="D125" s="1" t="s">
        <v>470</v>
      </c>
      <c r="E125" s="1" t="s">
        <v>471</v>
      </c>
      <c r="F125" s="1" t="s">
        <v>472</v>
      </c>
      <c r="G125" s="1" t="s">
        <v>473</v>
      </c>
      <c r="H125" s="1" t="s">
        <v>474</v>
      </c>
      <c r="I125" s="1" t="s">
        <v>475</v>
      </c>
      <c r="J125" s="1" t="s">
        <v>476</v>
      </c>
      <c r="K125" s="1" t="s">
        <v>477</v>
      </c>
      <c r="L125" s="1" t="s">
        <v>478</v>
      </c>
      <c r="M125" s="1" t="s">
        <v>479</v>
      </c>
      <c r="N125" s="1" t="s">
        <v>480</v>
      </c>
      <c r="O125" s="1" t="s">
        <v>481</v>
      </c>
      <c r="P125" s="1" t="s">
        <v>235</v>
      </c>
    </row>
    <row r="126" spans="2:17">
      <c r="B126" s="1">
        <v>1</v>
      </c>
      <c r="C126" s="102" t="s">
        <v>1512</v>
      </c>
      <c r="D126" s="426">
        <v>22785.475624999999</v>
      </c>
      <c r="E126" s="426">
        <v>23327.36375</v>
      </c>
      <c r="F126" s="426">
        <v>22118.183125</v>
      </c>
      <c r="G126" s="426">
        <v>18612.501250000001</v>
      </c>
      <c r="H126" s="426">
        <v>20164.962500000001</v>
      </c>
      <c r="I126" s="426">
        <v>18416.77</v>
      </c>
      <c r="J126" s="426">
        <v>18548.010000000002</v>
      </c>
      <c r="K126" s="426">
        <v>22049.665917724786</v>
      </c>
      <c r="L126" s="426">
        <v>22985.691380200267</v>
      </c>
      <c r="M126" s="426">
        <v>23483.031090008255</v>
      </c>
      <c r="N126" s="426">
        <v>23640.69601325463</v>
      </c>
      <c r="O126" s="426">
        <v>23759.791712307531</v>
      </c>
      <c r="P126" s="426">
        <f>AVERAGE(D126:O126)</f>
        <v>21657.67853029129</v>
      </c>
    </row>
    <row r="127" spans="2:17">
      <c r="B127" s="1">
        <v>2</v>
      </c>
      <c r="C127" s="102" t="s">
        <v>1533</v>
      </c>
      <c r="D127" s="426">
        <v>970.9469094365511</v>
      </c>
      <c r="E127" s="426">
        <v>946.46087326203337</v>
      </c>
      <c r="F127" s="426">
        <v>955.52570256600711</v>
      </c>
      <c r="G127" s="426">
        <v>838.88135160939407</v>
      </c>
      <c r="H127" s="426">
        <v>846.26727137872149</v>
      </c>
      <c r="I127" s="426">
        <v>833.82419920118866</v>
      </c>
      <c r="J127" s="426">
        <v>849.06583024124166</v>
      </c>
      <c r="K127" s="426">
        <v>774.73685796770542</v>
      </c>
      <c r="L127" s="426">
        <v>759.10213688448437</v>
      </c>
      <c r="M127" s="426">
        <v>710.58594137076796</v>
      </c>
      <c r="N127" s="426">
        <v>793.1186703945325</v>
      </c>
      <c r="O127" s="426">
        <v>810.70639661051973</v>
      </c>
      <c r="P127" s="426">
        <f t="shared" ref="P127:P139" si="24">AVERAGE(D127:O127)</f>
        <v>840.76851174359581</v>
      </c>
    </row>
    <row r="128" spans="2:17">
      <c r="B128" s="1">
        <v>3</v>
      </c>
      <c r="C128" s="102" t="s">
        <v>1534</v>
      </c>
      <c r="D128" s="426">
        <v>1828.4322148951728</v>
      </c>
      <c r="E128" s="426">
        <v>1643.0597004891949</v>
      </c>
      <c r="F128" s="426">
        <v>1721.0700035939412</v>
      </c>
      <c r="G128" s="426">
        <v>1422.6451573234717</v>
      </c>
      <c r="H128" s="426">
        <v>1488.1541905904942</v>
      </c>
      <c r="I128" s="426">
        <v>1532.7539082720778</v>
      </c>
      <c r="J128" s="426">
        <v>1546.8259702725022</v>
      </c>
      <c r="K128" s="426">
        <v>1401.784682080925</v>
      </c>
      <c r="L128" s="426">
        <v>1377.6569835862497</v>
      </c>
      <c r="M128" s="426">
        <v>1290.0803468208092</v>
      </c>
      <c r="N128" s="426">
        <v>1470.6564564564565</v>
      </c>
      <c r="O128" s="426">
        <v>1520.7023457683167</v>
      </c>
      <c r="P128" s="426">
        <f t="shared" si="24"/>
        <v>1520.3184966791343</v>
      </c>
    </row>
    <row r="129" spans="2:16">
      <c r="B129" s="1">
        <v>4</v>
      </c>
      <c r="C129" s="102" t="s">
        <v>1515</v>
      </c>
      <c r="D129" s="426">
        <v>915.70895908855516</v>
      </c>
      <c r="E129" s="426">
        <v>864.67459906880492</v>
      </c>
      <c r="F129" s="426">
        <v>893.20556590109663</v>
      </c>
      <c r="G129" s="426">
        <v>733.32522261337749</v>
      </c>
      <c r="H129" s="426">
        <v>758.28794781528268</v>
      </c>
      <c r="I129" s="426">
        <v>737.95993374055286</v>
      </c>
      <c r="J129" s="426">
        <v>796.86209744013217</v>
      </c>
      <c r="K129" s="426">
        <v>716.3501238645747</v>
      </c>
      <c r="L129" s="426">
        <v>681.98538247135343</v>
      </c>
      <c r="M129" s="426">
        <v>630.89046242774566</v>
      </c>
      <c r="N129" s="426">
        <v>719.49104276690491</v>
      </c>
      <c r="O129" s="426">
        <v>752.19770590058897</v>
      </c>
      <c r="P129" s="426">
        <f t="shared" si="24"/>
        <v>766.74492025824748</v>
      </c>
    </row>
    <row r="130" spans="2:16">
      <c r="B130" s="1">
        <v>5</v>
      </c>
      <c r="C130" s="102" t="s">
        <v>1535</v>
      </c>
      <c r="D130" s="426">
        <v>402.5</v>
      </c>
      <c r="E130" s="426">
        <v>415.5</v>
      </c>
      <c r="F130" s="426">
        <v>418</v>
      </c>
      <c r="G130" s="426">
        <v>404.5</v>
      </c>
      <c r="H130" s="426">
        <v>419</v>
      </c>
      <c r="I130" s="426">
        <v>413.30500000000001</v>
      </c>
      <c r="J130" s="426">
        <v>430.755</v>
      </c>
      <c r="K130" s="426">
        <v>407.05499999999995</v>
      </c>
      <c r="L130" s="426">
        <v>474.08946010116648</v>
      </c>
      <c r="M130" s="426">
        <v>458.72619735755575</v>
      </c>
      <c r="N130" s="426">
        <v>855.69528839184011</v>
      </c>
      <c r="O130" s="426">
        <v>484.19654851710243</v>
      </c>
      <c r="P130" s="426">
        <f t="shared" si="24"/>
        <v>465.27687453063868</v>
      </c>
    </row>
    <row r="131" spans="2:16">
      <c r="B131" s="1">
        <v>6</v>
      </c>
      <c r="C131" s="102" t="s">
        <v>1536</v>
      </c>
      <c r="D131" s="426">
        <v>9.6219575349559818</v>
      </c>
      <c r="E131" s="426">
        <v>10.186239006725298</v>
      </c>
      <c r="F131" s="426">
        <v>10.092075315539002</v>
      </c>
      <c r="G131" s="426">
        <v>8.4230689583764757</v>
      </c>
      <c r="H131" s="426">
        <v>9.0391385379995857</v>
      </c>
      <c r="I131" s="426">
        <v>8.7586706698415995</v>
      </c>
      <c r="J131" s="426">
        <v>9.0885631709331136</v>
      </c>
      <c r="K131" s="426">
        <v>8.6034269199009081</v>
      </c>
      <c r="L131" s="426">
        <v>8.0450707133271404</v>
      </c>
      <c r="M131" s="426">
        <v>8.0122832369942198</v>
      </c>
      <c r="N131" s="426">
        <v>8.6874598736667714</v>
      </c>
      <c r="O131" s="426">
        <v>7.3584168647308044</v>
      </c>
      <c r="P131" s="426">
        <f t="shared" si="24"/>
        <v>8.8263642335825754</v>
      </c>
    </row>
    <row r="132" spans="2:16">
      <c r="B132" s="1">
        <v>7</v>
      </c>
      <c r="C132" s="102" t="s">
        <v>1537</v>
      </c>
      <c r="D132" s="426">
        <v>5.1475919212843078</v>
      </c>
      <c r="E132" s="426">
        <v>5.4733574754267975</v>
      </c>
      <c r="F132" s="426">
        <v>5.4676184564452717</v>
      </c>
      <c r="G132" s="426">
        <v>5.4825015531165873</v>
      </c>
      <c r="H132" s="426">
        <v>5.6326361565541525</v>
      </c>
      <c r="I132" s="426">
        <v>5.0212237291645101</v>
      </c>
      <c r="J132" s="426">
        <v>5.9331131296449211</v>
      </c>
      <c r="K132" s="426">
        <v>4.9690338563170933</v>
      </c>
      <c r="L132" s="426">
        <v>4.066109218540312</v>
      </c>
      <c r="M132" s="426">
        <v>4.0561312964492151</v>
      </c>
      <c r="N132" s="426">
        <v>4.5390908149528837</v>
      </c>
      <c r="O132" s="426">
        <v>3.721277255347732</v>
      </c>
      <c r="P132" s="426">
        <f t="shared" si="24"/>
        <v>4.9591404052703156</v>
      </c>
    </row>
    <row r="133" spans="2:16">
      <c r="B133" s="1">
        <v>8</v>
      </c>
      <c r="C133" s="102" t="s">
        <v>1538</v>
      </c>
      <c r="D133" s="426">
        <v>4.4976696012428796</v>
      </c>
      <c r="E133" s="426">
        <v>4.689601655457837</v>
      </c>
      <c r="F133" s="426">
        <v>4.7072211876681154</v>
      </c>
      <c r="G133" s="426">
        <v>4.2814247256160698</v>
      </c>
      <c r="H133" s="426">
        <v>4.4833298819631402</v>
      </c>
      <c r="I133" s="426">
        <v>4.0847913862718706</v>
      </c>
      <c r="J133" s="426">
        <v>4.6268579686209748</v>
      </c>
      <c r="K133" s="426">
        <v>4.0514037985136255</v>
      </c>
      <c r="L133" s="426">
        <v>3.7360586352844019</v>
      </c>
      <c r="M133" s="426">
        <v>3.9009702725020645</v>
      </c>
      <c r="N133" s="426">
        <v>4.1561975768872319</v>
      </c>
      <c r="O133" s="426">
        <v>3.4984395990492922</v>
      </c>
      <c r="P133" s="426">
        <f t="shared" si="24"/>
        <v>4.2261638574231251</v>
      </c>
    </row>
    <row r="134" spans="2:16">
      <c r="B134" s="1">
        <v>9</v>
      </c>
      <c r="C134" s="102" t="s">
        <v>1539</v>
      </c>
      <c r="D134" s="426">
        <v>3.2522009321595027</v>
      </c>
      <c r="E134" s="426">
        <v>3.1764097258147954</v>
      </c>
      <c r="F134" s="426">
        <v>3.2019449617214981</v>
      </c>
      <c r="G134" s="426">
        <v>2.9664526817146406</v>
      </c>
      <c r="H134" s="426">
        <v>3.1942431145164631</v>
      </c>
      <c r="I134" s="426">
        <v>3.7840356144528422</v>
      </c>
      <c r="J134" s="426">
        <v>3.0553261767134599</v>
      </c>
      <c r="K134" s="426">
        <v>3.416597853014038</v>
      </c>
      <c r="L134" s="426">
        <v>3.2063796841127283</v>
      </c>
      <c r="M134" s="426">
        <v>3.3167630057803468</v>
      </c>
      <c r="N134" s="426">
        <v>3.5594905250077664</v>
      </c>
      <c r="O134" s="426">
        <v>3.866466880231477</v>
      </c>
      <c r="P134" s="426">
        <f t="shared" si="24"/>
        <v>3.3330259296032971</v>
      </c>
    </row>
    <row r="135" spans="2:16">
      <c r="B135" s="1">
        <v>10</v>
      </c>
      <c r="C135" s="102" t="s">
        <v>1524</v>
      </c>
      <c r="D135" s="426">
        <v>13.4122925</v>
      </c>
      <c r="E135" s="426">
        <v>14.799720000000001</v>
      </c>
      <c r="F135" s="426">
        <v>14.777619999999999</v>
      </c>
      <c r="G135" s="426">
        <v>12.555188000000001</v>
      </c>
      <c r="H135" s="426">
        <v>13.972041999999998</v>
      </c>
      <c r="I135" s="426">
        <v>12.212720999999998</v>
      </c>
      <c r="J135" s="426">
        <v>12.451740000000001</v>
      </c>
      <c r="K135" s="426">
        <v>10.801820000000001</v>
      </c>
      <c r="L135" s="426">
        <v>10.907401672344379</v>
      </c>
      <c r="M135" s="426">
        <v>11.432700247729148</v>
      </c>
      <c r="N135" s="426">
        <v>11.560111835973904</v>
      </c>
      <c r="O135" s="426">
        <v>11.172470807068304</v>
      </c>
      <c r="P135" s="426">
        <f t="shared" si="24"/>
        <v>12.504652338592978</v>
      </c>
    </row>
    <row r="136" spans="2:16">
      <c r="B136" s="1">
        <v>11</v>
      </c>
      <c r="C136" s="102" t="s">
        <v>1540</v>
      </c>
      <c r="D136" s="426">
        <v>7.1</v>
      </c>
      <c r="E136" s="426">
        <v>8.99</v>
      </c>
      <c r="F136" s="426">
        <v>9.01</v>
      </c>
      <c r="G136" s="426">
        <v>7.3650000000000002</v>
      </c>
      <c r="H136" s="426">
        <v>7.6349999999999998</v>
      </c>
      <c r="I136" s="426">
        <v>7.1750000000000007</v>
      </c>
      <c r="J136" s="426">
        <v>7.9249999999999998</v>
      </c>
      <c r="K136" s="426">
        <v>7.585</v>
      </c>
      <c r="L136" s="426">
        <v>5.450418086094766</v>
      </c>
      <c r="M136" s="426">
        <v>4.7067712634186627</v>
      </c>
      <c r="N136" s="426">
        <v>5.2872527700113903</v>
      </c>
      <c r="O136" s="426">
        <v>4.275064586132066</v>
      </c>
      <c r="P136" s="426">
        <f t="shared" si="24"/>
        <v>6.8753755588047403</v>
      </c>
    </row>
    <row r="137" spans="2:16">
      <c r="B137" s="1">
        <v>12</v>
      </c>
      <c r="C137" s="102" t="s">
        <v>1541</v>
      </c>
      <c r="D137" s="426">
        <v>4.7750000000000004</v>
      </c>
      <c r="E137" s="426">
        <v>3.58</v>
      </c>
      <c r="F137" s="426">
        <v>4.7149999999999999</v>
      </c>
      <c r="G137" s="426">
        <v>4.07</v>
      </c>
      <c r="H137" s="426">
        <v>4.5500000000000007</v>
      </c>
      <c r="I137" s="426">
        <v>4.0350000000000001</v>
      </c>
      <c r="J137" s="426">
        <v>4.47</v>
      </c>
      <c r="K137" s="426">
        <v>4.28</v>
      </c>
      <c r="L137" s="426">
        <v>4.0928047899246405</v>
      </c>
      <c r="M137" s="426">
        <v>4.420024772914946</v>
      </c>
      <c r="N137" s="426">
        <v>6.9176555866211036</v>
      </c>
      <c r="O137" s="426">
        <v>5.4790327580861842</v>
      </c>
      <c r="P137" s="426">
        <f t="shared" si="24"/>
        <v>4.6153764922955736</v>
      </c>
    </row>
    <row r="138" spans="2:16">
      <c r="B138" s="1">
        <v>13</v>
      </c>
      <c r="C138" s="102" t="s">
        <v>1525</v>
      </c>
      <c r="D138" s="426">
        <v>0.82450000000000001</v>
      </c>
      <c r="E138" s="426">
        <v>0.66849999999999998</v>
      </c>
      <c r="F138" s="426">
        <v>1.0084</v>
      </c>
      <c r="G138" s="426">
        <v>0.84919999999999995</v>
      </c>
      <c r="H138" s="426">
        <v>0.90920000000000001</v>
      </c>
      <c r="I138" s="426">
        <v>0.81909999999999994</v>
      </c>
      <c r="J138" s="426">
        <v>0.91120000000000001</v>
      </c>
      <c r="K138" s="426">
        <v>1.0861999999999998</v>
      </c>
      <c r="L138" s="426">
        <v>0.8898523794776505</v>
      </c>
      <c r="M138" s="426">
        <v>0.83195706028075966</v>
      </c>
      <c r="N138" s="426">
        <v>0.95681888785337066</v>
      </c>
      <c r="O138" s="426">
        <v>1.1284488994523096</v>
      </c>
      <c r="P138" s="426">
        <f t="shared" si="24"/>
        <v>0.90694810225534095</v>
      </c>
    </row>
    <row r="139" spans="2:16">
      <c r="B139" s="1">
        <v>14</v>
      </c>
      <c r="C139" s="102" t="s">
        <v>1542</v>
      </c>
      <c r="D139" s="426">
        <v>0.7272535</v>
      </c>
      <c r="E139" s="426">
        <v>0.79062750000000004</v>
      </c>
      <c r="F139" s="426">
        <v>0.67222669999999995</v>
      </c>
      <c r="G139" s="426">
        <v>0.58639140000000001</v>
      </c>
      <c r="H139" s="426">
        <v>0.56829289999999999</v>
      </c>
      <c r="I139" s="426">
        <v>0.55908616499999997</v>
      </c>
      <c r="J139" s="426">
        <v>0.62727895999999994</v>
      </c>
      <c r="K139" s="426">
        <v>0.57186227199999995</v>
      </c>
      <c r="L139" s="426">
        <v>0.48029317642200886</v>
      </c>
      <c r="M139" s="426">
        <v>0.47636251032204791</v>
      </c>
      <c r="N139" s="426">
        <v>0.60126333229781503</v>
      </c>
      <c r="O139" s="426">
        <v>0.56953601322723979</v>
      </c>
      <c r="P139" s="426">
        <f t="shared" si="24"/>
        <v>0.60253953577242603</v>
      </c>
    </row>
  </sheetData>
  <mergeCells count="13">
    <mergeCell ref="N8:N10"/>
    <mergeCell ref="D9:E9"/>
    <mergeCell ref="F9:G9"/>
    <mergeCell ref="H9:I9"/>
    <mergeCell ref="J9:K9"/>
    <mergeCell ref="L9:M9"/>
    <mergeCell ref="I33:I35"/>
    <mergeCell ref="B33:B35"/>
    <mergeCell ref="C33:C35"/>
    <mergeCell ref="D33:H33"/>
    <mergeCell ref="B8:B10"/>
    <mergeCell ref="C8:C10"/>
    <mergeCell ref="D8:M8"/>
  </mergeCells>
  <pageMargins left="1.0236220472440944" right="0.23622047244094491" top="0.98425196850393704" bottom="0.98425196850393704" header="0.23622047244094491" footer="0.23622047244094491"/>
  <pageSetup paperSize="9" scale="49" orientation="landscape" r:id="rId1"/>
  <headerFooter alignWithMargins="0">
    <oddHeader>&amp;F</oddHeader>
  </headerFooter>
</worksheet>
</file>

<file path=xl/worksheets/sheet27.xml><?xml version="1.0" encoding="utf-8"?>
<worksheet xmlns="http://schemas.openxmlformats.org/spreadsheetml/2006/main" xmlns:r="http://schemas.openxmlformats.org/officeDocument/2006/relationships">
  <sheetPr>
    <pageSetUpPr fitToPage="1"/>
  </sheetPr>
  <dimension ref="B2:R56"/>
  <sheetViews>
    <sheetView showGridLines="0" view="pageBreakPreview" topLeftCell="A51" zoomScaleNormal="75" zoomScaleSheetLayoutView="100" workbookViewId="0">
      <selection activeCell="J54" sqref="J54"/>
    </sheetView>
  </sheetViews>
  <sheetFormatPr defaultColWidth="9.28515625" defaultRowHeight="15"/>
  <cols>
    <col min="1" max="1" width="6.7109375" style="17" customWidth="1"/>
    <col min="2" max="2" width="9.28515625" style="57" customWidth="1"/>
    <col min="3" max="3" width="46.7109375" style="17" bestFit="1" customWidth="1"/>
    <col min="4" max="4" width="12" style="17" customWidth="1"/>
    <col min="5" max="6" width="11.7109375" style="17" customWidth="1"/>
    <col min="7" max="7" width="14.42578125" style="17" customWidth="1"/>
    <col min="8" max="8" width="16.28515625" style="17" customWidth="1"/>
    <col min="9" max="9" width="17.7109375" style="17" customWidth="1"/>
    <col min="10" max="10" width="21.42578125" style="17" customWidth="1"/>
    <col min="11" max="11" width="11.7109375" style="17" hidden="1" customWidth="1"/>
    <col min="12" max="12" width="11" style="17" hidden="1" customWidth="1"/>
    <col min="13" max="13" width="13.7109375" style="17" customWidth="1"/>
    <col min="14" max="14" width="16" style="17" customWidth="1"/>
    <col min="15" max="15" width="9.28515625" style="17"/>
    <col min="16" max="16" width="11.28515625" style="17" customWidth="1"/>
    <col min="17" max="17" width="9.28515625" style="17"/>
    <col min="18" max="18" width="10.7109375" style="17" customWidth="1"/>
    <col min="19" max="16384" width="9.28515625" style="17"/>
  </cols>
  <sheetData>
    <row r="2" spans="2:18">
      <c r="C2" s="23"/>
      <c r="D2" s="23"/>
      <c r="E2" s="81" t="s">
        <v>0</v>
      </c>
      <c r="F2" s="23"/>
      <c r="G2" s="23"/>
      <c r="H2" s="23"/>
      <c r="I2" s="23"/>
    </row>
    <row r="3" spans="2:18" s="19" customFormat="1">
      <c r="C3" s="87"/>
      <c r="D3" s="87"/>
      <c r="E3" s="88" t="s">
        <v>1</v>
      </c>
      <c r="F3" s="87"/>
      <c r="G3" s="87"/>
      <c r="H3" s="87"/>
      <c r="I3" s="87"/>
      <c r="J3" s="41"/>
      <c r="K3" s="41"/>
      <c r="L3" s="41"/>
      <c r="M3" s="41"/>
      <c r="Q3" s="17" t="s">
        <v>1220</v>
      </c>
    </row>
    <row r="4" spans="2:18" s="19" customFormat="1">
      <c r="C4" s="36"/>
      <c r="D4" s="36"/>
      <c r="E4" s="61" t="s">
        <v>508</v>
      </c>
      <c r="F4" s="36"/>
      <c r="G4" s="36"/>
      <c r="H4" s="36"/>
      <c r="I4" s="36"/>
      <c r="J4" s="36"/>
      <c r="K4" s="36"/>
      <c r="L4" s="36"/>
      <c r="M4" s="36"/>
      <c r="N4" s="36"/>
      <c r="Q4" s="17" t="s">
        <v>1219</v>
      </c>
    </row>
    <row r="5" spans="2:18">
      <c r="B5" s="39" t="s">
        <v>58</v>
      </c>
      <c r="N5" s="17" t="s">
        <v>1214</v>
      </c>
    </row>
    <row r="6" spans="2:18">
      <c r="B6" s="61"/>
      <c r="N6" s="17" t="s">
        <v>1213</v>
      </c>
    </row>
    <row r="7" spans="2:18">
      <c r="J7" s="22" t="s">
        <v>1198</v>
      </c>
      <c r="N7" s="17" t="s">
        <v>563</v>
      </c>
      <c r="O7" s="17">
        <v>114.9</v>
      </c>
      <c r="Q7" s="17">
        <v>284.42</v>
      </c>
    </row>
    <row r="8" spans="2:18" ht="42.75">
      <c r="B8" s="150" t="s">
        <v>2</v>
      </c>
      <c r="C8" s="151" t="s">
        <v>57</v>
      </c>
      <c r="D8" s="150" t="s">
        <v>268</v>
      </c>
      <c r="E8" s="150" t="s">
        <v>267</v>
      </c>
      <c r="F8" s="150" t="s">
        <v>509</v>
      </c>
      <c r="G8" s="150" t="s">
        <v>510</v>
      </c>
      <c r="H8" s="150" t="s">
        <v>511</v>
      </c>
      <c r="I8" s="150" t="s">
        <v>512</v>
      </c>
      <c r="J8" s="150" t="s">
        <v>513</v>
      </c>
      <c r="N8" s="17" t="s">
        <v>543</v>
      </c>
      <c r="O8" s="17" t="s">
        <v>1209</v>
      </c>
      <c r="P8" s="17" t="s">
        <v>1210</v>
      </c>
      <c r="Q8" s="17" t="s">
        <v>1211</v>
      </c>
      <c r="R8" s="17" t="s">
        <v>1212</v>
      </c>
    </row>
    <row r="9" spans="2:18">
      <c r="B9" s="33"/>
      <c r="C9" s="24"/>
      <c r="D9" s="388"/>
      <c r="E9" s="388"/>
      <c r="F9" s="388"/>
      <c r="G9" s="24"/>
      <c r="H9" s="24"/>
      <c r="I9" s="24"/>
      <c r="J9" s="24"/>
      <c r="N9" s="17" t="s">
        <v>564</v>
      </c>
      <c r="O9" s="445">
        <v>119.8</v>
      </c>
      <c r="P9" s="436">
        <f>(O9/O7)-1</f>
        <v>4.2645778938207091E-2</v>
      </c>
      <c r="Q9" s="17">
        <v>299.92</v>
      </c>
      <c r="R9" s="436">
        <f>(Q9/Q7)-1</f>
        <v>5.4496870824836563E-2</v>
      </c>
    </row>
    <row r="10" spans="2:18">
      <c r="B10" s="89">
        <v>1</v>
      </c>
      <c r="C10" s="90" t="s">
        <v>87</v>
      </c>
      <c r="D10" s="388">
        <f>'F1 '!E10</f>
        <v>3224.97</v>
      </c>
      <c r="E10" s="388">
        <f>'F1 '!F10</f>
        <v>3680.990245</v>
      </c>
      <c r="F10" s="388">
        <f>E10-D10</f>
        <v>456.02024500000016</v>
      </c>
      <c r="G10" s="24"/>
      <c r="H10" s="24" t="s">
        <v>1188</v>
      </c>
      <c r="I10" s="24"/>
      <c r="J10" s="388">
        <f>O34</f>
        <v>3369.1260474648839</v>
      </c>
      <c r="N10" s="17" t="s">
        <v>565</v>
      </c>
      <c r="O10" s="444">
        <v>121.8</v>
      </c>
      <c r="P10" s="436">
        <f>(O10/O9)-1</f>
        <v>1.6694490818029983E-2</v>
      </c>
      <c r="Q10" s="17">
        <v>322.5</v>
      </c>
      <c r="R10" s="436">
        <f>(Q10/Q9)-1</f>
        <v>7.5286743131501632E-2</v>
      </c>
    </row>
    <row r="11" spans="2:18">
      <c r="B11" s="89">
        <v>2</v>
      </c>
      <c r="C11" s="90" t="s">
        <v>35</v>
      </c>
      <c r="D11" s="388">
        <f>'F1 '!E14</f>
        <v>651.52</v>
      </c>
      <c r="E11" s="388">
        <f>'F1 '!F14</f>
        <v>829.15065000000004</v>
      </c>
      <c r="F11" s="388">
        <f t="shared" ref="F11:F22" si="0">E11-D11</f>
        <v>177.63065000000006</v>
      </c>
      <c r="G11" s="24"/>
      <c r="H11" s="24"/>
      <c r="I11" s="24" t="s">
        <v>1188</v>
      </c>
      <c r="J11" s="388">
        <f>E11</f>
        <v>829.15065000000004</v>
      </c>
      <c r="N11" s="17" t="s">
        <v>566</v>
      </c>
      <c r="O11" s="445">
        <v>123.4</v>
      </c>
      <c r="P11" s="436">
        <f t="shared" ref="P11:R14" si="1">(O11/O10)-1</f>
        <v>1.3136288998357948E-2</v>
      </c>
      <c r="Q11" s="17">
        <v>338.69</v>
      </c>
      <c r="R11" s="436">
        <f t="shared" si="1"/>
        <v>5.0201550387596994E-2</v>
      </c>
    </row>
    <row r="12" spans="2:18">
      <c r="B12" s="89">
        <v>3</v>
      </c>
      <c r="C12" s="90" t="s">
        <v>88</v>
      </c>
      <c r="D12" s="388">
        <f>'F1 '!E11</f>
        <v>115.6</v>
      </c>
      <c r="E12" s="388">
        <f>'F1 '!F11</f>
        <v>115.6</v>
      </c>
      <c r="F12" s="388">
        <f t="shared" si="0"/>
        <v>0</v>
      </c>
      <c r="G12" s="24"/>
      <c r="H12" s="24"/>
      <c r="I12" s="24" t="s">
        <v>1188</v>
      </c>
      <c r="J12" s="388">
        <f t="shared" ref="J12:J16" si="2">E12</f>
        <v>115.6</v>
      </c>
      <c r="N12" s="17" t="s">
        <v>567</v>
      </c>
      <c r="O12" s="445">
        <v>139.4</v>
      </c>
      <c r="P12" s="436">
        <f t="shared" si="1"/>
        <v>0.12965964343598047</v>
      </c>
      <c r="Q12" s="17">
        <v>356.06</v>
      </c>
      <c r="R12" s="436">
        <f t="shared" si="1"/>
        <v>5.1285836605745594E-2</v>
      </c>
    </row>
    <row r="13" spans="2:18">
      <c r="B13" s="89">
        <v>4</v>
      </c>
      <c r="C13" s="90" t="s">
        <v>31</v>
      </c>
      <c r="D13" s="388">
        <f>'F1 '!E12</f>
        <v>60.11</v>
      </c>
      <c r="E13" s="388">
        <f>'F1 '!F12</f>
        <v>60.917359999999988</v>
      </c>
      <c r="F13" s="388">
        <f t="shared" si="0"/>
        <v>0.80735999999998853</v>
      </c>
      <c r="G13" s="24"/>
      <c r="H13" s="24"/>
      <c r="I13" s="24" t="s">
        <v>1188</v>
      </c>
      <c r="J13" s="388">
        <f t="shared" si="2"/>
        <v>60.917359999999988</v>
      </c>
      <c r="N13" s="17" t="s">
        <v>568</v>
      </c>
      <c r="O13" s="452">
        <v>152.5</v>
      </c>
      <c r="P13" s="436">
        <f t="shared" si="1"/>
        <v>9.3974175035868024E-2</v>
      </c>
      <c r="Q13" s="17">
        <f>2.88*131.12</f>
        <v>377.62560000000002</v>
      </c>
      <c r="R13" s="436">
        <f>(Q13/Q12)-1</f>
        <v>6.0567320114587542E-2</v>
      </c>
    </row>
    <row r="14" spans="2:18">
      <c r="B14" s="89">
        <v>5</v>
      </c>
      <c r="C14" s="91" t="s">
        <v>89</v>
      </c>
      <c r="D14" s="388">
        <f>'F1 '!E13</f>
        <v>66.5</v>
      </c>
      <c r="E14" s="388">
        <f>'F1 '!F13</f>
        <v>65.024065229594726</v>
      </c>
      <c r="F14" s="388">
        <f t="shared" si="0"/>
        <v>-1.4759347704052743</v>
      </c>
      <c r="G14" s="24"/>
      <c r="H14" s="24" t="s">
        <v>1188</v>
      </c>
      <c r="I14" s="24"/>
      <c r="J14" s="388">
        <f>E14/3</f>
        <v>21.67468840986491</v>
      </c>
      <c r="K14" s="17" t="s">
        <v>1321</v>
      </c>
      <c r="N14" s="17" t="s">
        <v>569</v>
      </c>
      <c r="O14" s="452">
        <v>151.4</v>
      </c>
      <c r="P14" s="436">
        <f t="shared" si="1"/>
        <v>-7.2131147540983598E-3</v>
      </c>
      <c r="Q14" s="17">
        <f>2.88*137.92</f>
        <v>397.20959999999997</v>
      </c>
      <c r="R14" s="436">
        <f>(Q14/Q13)-1</f>
        <v>5.1860890787065239E-2</v>
      </c>
    </row>
    <row r="15" spans="2:18">
      <c r="B15" s="89">
        <v>6</v>
      </c>
      <c r="C15" s="91" t="s">
        <v>90</v>
      </c>
      <c r="D15" s="388"/>
      <c r="E15" s="388"/>
      <c r="F15" s="388">
        <f t="shared" si="0"/>
        <v>0</v>
      </c>
      <c r="G15" s="24"/>
      <c r="H15" s="24"/>
      <c r="I15" s="24" t="s">
        <v>1188</v>
      </c>
      <c r="J15" s="388">
        <f t="shared" si="2"/>
        <v>0</v>
      </c>
    </row>
    <row r="16" spans="2:18">
      <c r="B16" s="89">
        <v>7</v>
      </c>
      <c r="C16" s="90" t="s">
        <v>37</v>
      </c>
      <c r="D16" s="388"/>
      <c r="E16" s="388"/>
      <c r="F16" s="388">
        <f t="shared" si="0"/>
        <v>0</v>
      </c>
      <c r="G16" s="24"/>
      <c r="H16" s="24"/>
      <c r="I16" s="24" t="s">
        <v>1188</v>
      </c>
      <c r="J16" s="388">
        <f t="shared" si="2"/>
        <v>0</v>
      </c>
      <c r="N16" s="443" t="s">
        <v>58</v>
      </c>
    </row>
    <row r="17" spans="2:18" ht="38.25">
      <c r="B17" s="92">
        <v>8</v>
      </c>
      <c r="C17" s="93" t="s">
        <v>91</v>
      </c>
      <c r="D17" s="388">
        <f>SUM(D9:D16)</f>
        <v>4118.7</v>
      </c>
      <c r="E17" s="388">
        <f t="shared" ref="E17:F17" si="3">SUM(E9:E16)</f>
        <v>4751.6823202295964</v>
      </c>
      <c r="F17" s="388">
        <f t="shared" si="3"/>
        <v>632.98232022959496</v>
      </c>
      <c r="G17" s="24"/>
      <c r="H17" s="24"/>
      <c r="I17" s="24"/>
      <c r="J17" s="388">
        <f>SUM(J9:J16)</f>
        <v>4396.4687458747494</v>
      </c>
      <c r="N17" s="447" t="s">
        <v>1215</v>
      </c>
      <c r="P17" s="435">
        <f>AVERAGE(P9:P13)</f>
        <v>5.9222075445288701E-2</v>
      </c>
      <c r="R17" s="435">
        <f>AVERAGE(R9:R13)</f>
        <v>5.8367664212853665E-2</v>
      </c>
    </row>
    <row r="18" spans="2:18">
      <c r="B18" s="89">
        <v>9</v>
      </c>
      <c r="C18" s="90" t="s">
        <v>92</v>
      </c>
      <c r="D18" s="388">
        <f>'F1 '!E18</f>
        <v>177.44</v>
      </c>
      <c r="E18" s="388">
        <f>'F1 '!F18</f>
        <v>191.13146000000003</v>
      </c>
      <c r="F18" s="388">
        <f t="shared" si="0"/>
        <v>13.691460000000035</v>
      </c>
      <c r="G18" s="24"/>
      <c r="H18" s="24"/>
      <c r="I18" s="24" t="s">
        <v>1188</v>
      </c>
      <c r="J18" s="388">
        <f>E18</f>
        <v>191.13146000000003</v>
      </c>
      <c r="N18" s="447" t="s">
        <v>1216</v>
      </c>
      <c r="P18" s="434">
        <v>0.2</v>
      </c>
      <c r="R18" s="434">
        <v>0.8</v>
      </c>
    </row>
    <row r="19" spans="2:18">
      <c r="B19" s="92">
        <v>10</v>
      </c>
      <c r="C19" s="93" t="s">
        <v>93</v>
      </c>
      <c r="D19" s="388">
        <f>(D17+D18)-0.01</f>
        <v>4296.1299999999992</v>
      </c>
      <c r="E19" s="388">
        <f>E17+E18</f>
        <v>4942.813780229596</v>
      </c>
      <c r="F19" s="388">
        <f>F17+F18</f>
        <v>646.67378022959497</v>
      </c>
      <c r="G19" s="24"/>
      <c r="H19" s="24"/>
      <c r="I19" s="24"/>
      <c r="J19" s="388">
        <f>J17+J18</f>
        <v>4587.600205874749</v>
      </c>
      <c r="N19" s="447" t="s">
        <v>1217</v>
      </c>
      <c r="R19" s="435">
        <f>(P18*P17)+(R18*R17)</f>
        <v>5.8538546459340673E-2</v>
      </c>
    </row>
    <row r="20" spans="2:18" ht="25.5">
      <c r="B20" s="89">
        <v>11</v>
      </c>
      <c r="C20" s="90" t="s">
        <v>94</v>
      </c>
      <c r="D20" s="388">
        <f>'F1 '!E20</f>
        <v>376.61</v>
      </c>
      <c r="E20" s="388">
        <f ca="1">'F1 '!F20</f>
        <v>526.0663971990582</v>
      </c>
      <c r="F20" s="388">
        <f t="shared" ca="1" si="0"/>
        <v>149.45639719905819</v>
      </c>
      <c r="G20" s="24"/>
      <c r="H20" s="24"/>
      <c r="I20" s="24" t="s">
        <v>1188</v>
      </c>
      <c r="J20" s="388">
        <f ca="1">E20</f>
        <v>526.0663971990582</v>
      </c>
      <c r="N20" s="448" t="s">
        <v>1218</v>
      </c>
      <c r="R20" s="435">
        <f>R19-1%</f>
        <v>4.8538546459340672E-2</v>
      </c>
    </row>
    <row r="21" spans="2:18">
      <c r="B21" s="89">
        <v>12</v>
      </c>
      <c r="C21" s="90" t="s">
        <v>95</v>
      </c>
      <c r="D21" s="388">
        <f>'F1 '!E21</f>
        <v>1203.4100000000001</v>
      </c>
      <c r="E21" s="388">
        <f>'F1 '!F21</f>
        <v>1262.3598487000002</v>
      </c>
      <c r="F21" s="388">
        <f t="shared" si="0"/>
        <v>58.949848700000075</v>
      </c>
      <c r="G21" s="24"/>
      <c r="H21" s="24"/>
      <c r="I21" s="24" t="s">
        <v>1188</v>
      </c>
      <c r="J21" s="388">
        <f t="shared" ref="J21:J22" si="4">E21</f>
        <v>1262.3598487000002</v>
      </c>
      <c r="N21" s="443" t="s">
        <v>59</v>
      </c>
    </row>
    <row r="22" spans="2:18" ht="38.25">
      <c r="B22" s="89"/>
      <c r="C22" s="90" t="s">
        <v>1893</v>
      </c>
      <c r="D22" s="388"/>
      <c r="E22" s="388">
        <f>'F1 '!F22</f>
        <v>2279.2262700000001</v>
      </c>
      <c r="F22" s="388">
        <f t="shared" si="0"/>
        <v>2279.2262700000001</v>
      </c>
      <c r="G22" s="24"/>
      <c r="H22" s="24"/>
      <c r="I22" s="24" t="s">
        <v>1188</v>
      </c>
      <c r="J22" s="388">
        <f t="shared" si="4"/>
        <v>2279.2262700000001</v>
      </c>
      <c r="N22" s="447" t="s">
        <v>1221</v>
      </c>
      <c r="P22" s="435">
        <f>AVERAGE(P10:P14)</f>
        <v>4.9250296706827609E-2</v>
      </c>
      <c r="R22" s="435">
        <f>AVERAGE(R10:R14)</f>
        <v>5.7840468205299402E-2</v>
      </c>
    </row>
    <row r="23" spans="2:18">
      <c r="B23" s="92">
        <v>13</v>
      </c>
      <c r="C23" s="93" t="s">
        <v>96</v>
      </c>
      <c r="D23" s="388">
        <f>D19-SUM(D20:D22)</f>
        <v>2716.1099999999992</v>
      </c>
      <c r="E23" s="388">
        <f ca="1">E19-SUM(E20:E22)</f>
        <v>875.16126433053751</v>
      </c>
      <c r="F23" s="388">
        <f ca="1">F19-SUM(F20:F22)</f>
        <v>-1840.9587356694635</v>
      </c>
      <c r="G23" s="24"/>
      <c r="H23" s="24"/>
      <c r="I23" s="24"/>
      <c r="J23" s="388">
        <f ca="1">J19-SUM(J20:J22)</f>
        <v>519.94768997569054</v>
      </c>
      <c r="N23" s="447" t="s">
        <v>1216</v>
      </c>
      <c r="P23" s="434">
        <v>0.2</v>
      </c>
      <c r="R23" s="434">
        <v>0.8</v>
      </c>
    </row>
    <row r="24" spans="2:18">
      <c r="B24" s="94"/>
      <c r="C24" s="95"/>
      <c r="D24" s="567" t="s">
        <v>1505</v>
      </c>
      <c r="E24" s="388"/>
      <c r="F24" s="388"/>
      <c r="G24" s="24"/>
      <c r="H24" s="24"/>
      <c r="I24" s="24"/>
      <c r="J24" s="24"/>
      <c r="N24" s="447" t="s">
        <v>1217</v>
      </c>
      <c r="R24" s="435">
        <f>(P23*P22)+(R23*R22)</f>
        <v>5.6122433905605042E-2</v>
      </c>
    </row>
    <row r="25" spans="2:18" ht="25.5">
      <c r="B25" s="94">
        <v>14</v>
      </c>
      <c r="C25" s="96" t="s">
        <v>514</v>
      </c>
      <c r="D25" s="388">
        <v>3479.56</v>
      </c>
      <c r="E25" s="388">
        <f>'F11'!R10-'F11'!P19</f>
        <v>3454.4055899999998</v>
      </c>
      <c r="F25" s="388">
        <f t="shared" ref="F25" si="5">E25-D25</f>
        <v>-25.154410000000098</v>
      </c>
      <c r="G25" s="24"/>
      <c r="H25" s="24"/>
      <c r="I25" s="24" t="s">
        <v>1188</v>
      </c>
      <c r="J25" s="388">
        <f>E25</f>
        <v>3454.4055899999998</v>
      </c>
      <c r="N25" s="448" t="s">
        <v>1222</v>
      </c>
      <c r="R25" s="435">
        <f>R24-1%</f>
        <v>4.612243390560504E-2</v>
      </c>
    </row>
    <row r="26" spans="2:18">
      <c r="B26" s="97"/>
      <c r="C26" s="98"/>
      <c r="D26" s="388"/>
      <c r="E26" s="388"/>
      <c r="F26" s="388"/>
      <c r="G26" s="24"/>
      <c r="H26" s="24"/>
      <c r="I26" s="24"/>
      <c r="J26" s="24"/>
    </row>
    <row r="27" spans="2:18" ht="30">
      <c r="B27" s="94">
        <v>15</v>
      </c>
      <c r="C27" s="99" t="s">
        <v>515</v>
      </c>
      <c r="D27" s="383">
        <f>D23-D25</f>
        <v>-763.45000000000073</v>
      </c>
      <c r="E27" s="383">
        <f ca="1">E23-E25</f>
        <v>-2579.2443256694623</v>
      </c>
      <c r="F27" s="388">
        <f t="shared" ref="F27" ca="1" si="6">E27-D27</f>
        <v>-1815.7943256694616</v>
      </c>
      <c r="G27" s="29"/>
      <c r="H27" s="29"/>
      <c r="I27" s="29"/>
      <c r="J27" s="383">
        <f ca="1">J23-J25</f>
        <v>-2934.4579000243093</v>
      </c>
      <c r="N27" s="442" t="s">
        <v>1224</v>
      </c>
      <c r="O27" s="17" t="s">
        <v>1225</v>
      </c>
      <c r="P27" s="17" t="s">
        <v>1226</v>
      </c>
      <c r="Q27" s="17" t="s">
        <v>1237</v>
      </c>
    </row>
    <row r="28" spans="2:18">
      <c r="B28" s="100"/>
      <c r="C28" s="101"/>
      <c r="D28" s="567" t="s">
        <v>1506</v>
      </c>
      <c r="E28" s="23"/>
      <c r="F28" s="23"/>
      <c r="G28" s="23"/>
      <c r="H28" s="23"/>
      <c r="I28" s="23"/>
      <c r="N28" s="451" t="s">
        <v>1227</v>
      </c>
      <c r="O28" s="17">
        <v>3064.45</v>
      </c>
      <c r="P28" s="386">
        <f>O34</f>
        <v>3369.1260474648839</v>
      </c>
      <c r="Q28" s="386">
        <f>P34</f>
        <v>3628.8804297724901</v>
      </c>
    </row>
    <row r="29" spans="2:18">
      <c r="B29" s="84" t="s">
        <v>516</v>
      </c>
      <c r="N29" s="451" t="s">
        <v>1228</v>
      </c>
      <c r="O29" s="435">
        <f>R20</f>
        <v>4.8538546459340672E-2</v>
      </c>
      <c r="P29" s="435">
        <f>R25</f>
        <v>4.612243390560504E-2</v>
      </c>
      <c r="Q29" s="435">
        <f>P29</f>
        <v>4.612243390560504E-2</v>
      </c>
    </row>
    <row r="30" spans="2:18">
      <c r="N30" s="441" t="s">
        <v>1229</v>
      </c>
      <c r="O30" s="386">
        <f>O28*(1+O29)</f>
        <v>3213.1939486973261</v>
      </c>
      <c r="P30" s="386">
        <f>P28*(1+P29)</f>
        <v>3524.5183409087354</v>
      </c>
      <c r="Q30" s="386">
        <f>Q28*(1+Q29)</f>
        <v>3796.2532275460153</v>
      </c>
      <c r="R30" s="558" t="s">
        <v>1503</v>
      </c>
    </row>
    <row r="31" spans="2:18">
      <c r="N31" s="17" t="s">
        <v>1230</v>
      </c>
      <c r="O31" s="386">
        <f>E10</f>
        <v>3680.990245</v>
      </c>
      <c r="P31" s="386">
        <f>E37</f>
        <v>3837.6046074999995</v>
      </c>
    </row>
    <row r="32" spans="2:18" ht="17.45" customHeight="1">
      <c r="B32" s="39" t="s">
        <v>59</v>
      </c>
      <c r="N32" s="17" t="s">
        <v>1231</v>
      </c>
      <c r="O32" s="386">
        <f>O30-O31</f>
        <v>-467.79629630267391</v>
      </c>
      <c r="P32" s="386">
        <f>P30-P31</f>
        <v>-313.08626659126412</v>
      </c>
    </row>
    <row r="33" spans="2:16">
      <c r="B33" s="61"/>
      <c r="N33" s="17" t="s">
        <v>1232</v>
      </c>
      <c r="O33" s="386">
        <f>O32/3</f>
        <v>-155.93209876755796</v>
      </c>
      <c r="P33" s="386">
        <f>P32/3</f>
        <v>-104.36208886375471</v>
      </c>
    </row>
    <row r="34" spans="2:16">
      <c r="J34" s="22" t="s">
        <v>1198</v>
      </c>
      <c r="N34" s="17" t="s">
        <v>1233</v>
      </c>
      <c r="O34" s="386">
        <f>O30-O33</f>
        <v>3369.1260474648839</v>
      </c>
      <c r="P34" s="386">
        <f>P30-P33</f>
        <v>3628.8804297724901</v>
      </c>
    </row>
    <row r="35" spans="2:16" ht="42.75">
      <c r="B35" s="150" t="s">
        <v>2</v>
      </c>
      <c r="C35" s="151" t="s">
        <v>57</v>
      </c>
      <c r="D35" s="150" t="s">
        <v>268</v>
      </c>
      <c r="E35" s="150" t="s">
        <v>267</v>
      </c>
      <c r="F35" s="150" t="s">
        <v>509</v>
      </c>
      <c r="G35" s="150" t="s">
        <v>510</v>
      </c>
      <c r="H35" s="150" t="s">
        <v>511</v>
      </c>
      <c r="I35" s="150" t="s">
        <v>512</v>
      </c>
      <c r="J35" s="150" t="s">
        <v>513</v>
      </c>
      <c r="O35" s="386">
        <f>O31-((-O32)-(-O33))</f>
        <v>3369.1260474648839</v>
      </c>
      <c r="P35" s="386">
        <f>P31-((-P32)-(-P33))</f>
        <v>3628.8804297724901</v>
      </c>
    </row>
    <row r="36" spans="2:16">
      <c r="B36" s="33"/>
      <c r="C36" s="24"/>
      <c r="D36" s="388"/>
      <c r="E36" s="388"/>
      <c r="F36" s="388"/>
      <c r="G36" s="24"/>
      <c r="H36" s="24"/>
      <c r="I36" s="24"/>
      <c r="J36" s="24"/>
    </row>
    <row r="37" spans="2:16">
      <c r="B37" s="89">
        <v>1</v>
      </c>
      <c r="C37" s="90" t="s">
        <v>87</v>
      </c>
      <c r="D37" s="388">
        <f>'F1 '!H10</f>
        <v>3511.09</v>
      </c>
      <c r="E37" s="388">
        <f>'F1 '!I10</f>
        <v>3837.6046074999995</v>
      </c>
      <c r="F37" s="388">
        <f t="shared" ref="F37:F43" si="7">E37-D37</f>
        <v>326.51460749999933</v>
      </c>
      <c r="G37" s="24"/>
      <c r="H37" s="24" t="s">
        <v>1188</v>
      </c>
      <c r="I37" s="24"/>
      <c r="J37" s="388">
        <f>P34</f>
        <v>3628.8804297724901</v>
      </c>
    </row>
    <row r="38" spans="2:16">
      <c r="B38" s="89">
        <v>2</v>
      </c>
      <c r="C38" s="90" t="s">
        <v>35</v>
      </c>
      <c r="D38" s="388">
        <f>'F1 '!H14</f>
        <v>684.1</v>
      </c>
      <c r="E38" s="388">
        <f>'F1 '!I14</f>
        <v>1129.32231</v>
      </c>
      <c r="F38" s="388">
        <f t="shared" si="7"/>
        <v>445.22230999999999</v>
      </c>
      <c r="G38" s="24"/>
      <c r="H38" s="24"/>
      <c r="I38" s="24" t="s">
        <v>1188</v>
      </c>
      <c r="J38" s="388">
        <f>E38</f>
        <v>1129.32231</v>
      </c>
    </row>
    <row r="39" spans="2:16">
      <c r="B39" s="89">
        <v>3</v>
      </c>
      <c r="C39" s="90" t="s">
        <v>88</v>
      </c>
      <c r="D39" s="388">
        <f>'F1 '!H11</f>
        <v>115.51</v>
      </c>
      <c r="E39" s="388">
        <f>'F1 '!I11</f>
        <v>115.51</v>
      </c>
      <c r="F39" s="388">
        <f t="shared" si="7"/>
        <v>0</v>
      </c>
      <c r="G39" s="24"/>
      <c r="H39" s="24"/>
      <c r="I39" s="24" t="s">
        <v>1188</v>
      </c>
      <c r="J39" s="388">
        <f t="shared" ref="J39:J43" si="8">E39</f>
        <v>115.51</v>
      </c>
    </row>
    <row r="40" spans="2:16">
      <c r="B40" s="89">
        <v>4</v>
      </c>
      <c r="C40" s="90" t="s">
        <v>31</v>
      </c>
      <c r="D40" s="388">
        <f>'F1 '!H12</f>
        <v>49.79</v>
      </c>
      <c r="E40" s="388">
        <f>'F1 '!I12</f>
        <v>52.188083999999996</v>
      </c>
      <c r="F40" s="388">
        <f t="shared" si="7"/>
        <v>2.3980839999999972</v>
      </c>
      <c r="G40" s="24"/>
      <c r="H40" s="24"/>
      <c r="I40" s="24" t="s">
        <v>1188</v>
      </c>
      <c r="J40" s="388">
        <f t="shared" si="8"/>
        <v>52.188083999999996</v>
      </c>
    </row>
    <row r="41" spans="2:16">
      <c r="B41" s="89">
        <v>5</v>
      </c>
      <c r="C41" s="91" t="s">
        <v>89</v>
      </c>
      <c r="D41" s="388">
        <f>'F1 '!H13</f>
        <v>63.99</v>
      </c>
      <c r="E41" s="388">
        <f>'F1 '!I13</f>
        <v>68.203361927598905</v>
      </c>
      <c r="F41" s="388">
        <f t="shared" si="7"/>
        <v>4.2133619275989034</v>
      </c>
      <c r="G41" s="24"/>
      <c r="H41" s="24" t="s">
        <v>1188</v>
      </c>
      <c r="I41" s="24"/>
      <c r="J41" s="388">
        <f>E41/3</f>
        <v>22.734453975866302</v>
      </c>
    </row>
    <row r="42" spans="2:16">
      <c r="B42" s="89">
        <v>6</v>
      </c>
      <c r="C42" s="91" t="s">
        <v>90</v>
      </c>
      <c r="D42" s="388"/>
      <c r="E42" s="388"/>
      <c r="F42" s="388">
        <f t="shared" si="7"/>
        <v>0</v>
      </c>
      <c r="G42" s="24"/>
      <c r="H42" s="24"/>
      <c r="I42" s="24" t="s">
        <v>1188</v>
      </c>
      <c r="J42" s="388">
        <f t="shared" si="8"/>
        <v>0</v>
      </c>
    </row>
    <row r="43" spans="2:16">
      <c r="B43" s="89">
        <v>7</v>
      </c>
      <c r="C43" s="90" t="s">
        <v>37</v>
      </c>
      <c r="D43" s="388"/>
      <c r="E43" s="388"/>
      <c r="F43" s="388">
        <f t="shared" si="7"/>
        <v>0</v>
      </c>
      <c r="G43" s="24"/>
      <c r="H43" s="24"/>
      <c r="I43" s="24" t="s">
        <v>1188</v>
      </c>
      <c r="J43" s="388">
        <f t="shared" si="8"/>
        <v>0</v>
      </c>
    </row>
    <row r="44" spans="2:16">
      <c r="B44" s="92">
        <v>8</v>
      </c>
      <c r="C44" s="93" t="s">
        <v>91</v>
      </c>
      <c r="D44" s="388">
        <f>SUM(D37:D43)</f>
        <v>4424.4800000000005</v>
      </c>
      <c r="E44" s="388">
        <f>SUM(E37:E43)</f>
        <v>5202.8283634275986</v>
      </c>
      <c r="F44" s="388">
        <f>SUM(F37:F43)</f>
        <v>778.34836342759831</v>
      </c>
      <c r="G44" s="24"/>
      <c r="H44" s="24"/>
      <c r="I44" s="24"/>
      <c r="J44" s="388">
        <f>SUM(J36:J43)</f>
        <v>4948.6352777483571</v>
      </c>
    </row>
    <row r="45" spans="2:16">
      <c r="B45" s="89">
        <v>9</v>
      </c>
      <c r="C45" s="90" t="s">
        <v>92</v>
      </c>
      <c r="D45" s="388">
        <f>'F1 '!H18</f>
        <v>177.44</v>
      </c>
      <c r="E45" s="388">
        <f>'F1 '!I18</f>
        <v>191.258205</v>
      </c>
      <c r="F45" s="388">
        <f t="shared" ref="F45" si="9">E45-D45</f>
        <v>13.818205000000006</v>
      </c>
      <c r="G45" s="24"/>
      <c r="H45" s="24"/>
      <c r="I45" s="24" t="s">
        <v>1188</v>
      </c>
      <c r="J45" s="388">
        <f>E45</f>
        <v>191.258205</v>
      </c>
    </row>
    <row r="46" spans="2:16">
      <c r="B46" s="92">
        <v>10</v>
      </c>
      <c r="C46" s="93" t="s">
        <v>93</v>
      </c>
      <c r="D46" s="388">
        <f>D44+D45</f>
        <v>4601.92</v>
      </c>
      <c r="E46" s="388">
        <f t="shared" ref="E46:F46" si="10">E44+E45</f>
        <v>5394.0865684275986</v>
      </c>
      <c r="F46" s="388">
        <f t="shared" si="10"/>
        <v>792.16656842759835</v>
      </c>
      <c r="G46" s="24"/>
      <c r="H46" s="24"/>
      <c r="I46" s="24"/>
      <c r="J46" s="388">
        <f>J44+J45</f>
        <v>5139.8934827483572</v>
      </c>
    </row>
    <row r="47" spans="2:16">
      <c r="B47" s="89">
        <v>11</v>
      </c>
      <c r="C47" s="90" t="s">
        <v>94</v>
      </c>
      <c r="D47" s="388">
        <f>'F1 '!H20</f>
        <v>297.94</v>
      </c>
      <c r="E47" s="388">
        <f ca="1">'F1 '!I20</f>
        <v>722.5322871521671</v>
      </c>
      <c r="F47" s="388">
        <f t="shared" ref="F47:F49" ca="1" si="11">E47-D47</f>
        <v>424.5922871521671</v>
      </c>
      <c r="G47" s="24"/>
      <c r="H47" s="24"/>
      <c r="I47" s="24" t="s">
        <v>1188</v>
      </c>
      <c r="J47" s="388">
        <f ca="1">E47</f>
        <v>722.5322871521671</v>
      </c>
    </row>
    <row r="48" spans="2:16">
      <c r="B48" s="89">
        <v>12</v>
      </c>
      <c r="C48" s="90" t="s">
        <v>95</v>
      </c>
      <c r="D48" s="388">
        <f>'F1 '!H21</f>
        <v>1227.48</v>
      </c>
      <c r="E48" s="388">
        <f>'F1 '!I21</f>
        <v>581.97825999999998</v>
      </c>
      <c r="F48" s="388">
        <f t="shared" si="11"/>
        <v>-645.50174000000004</v>
      </c>
      <c r="G48" s="24"/>
      <c r="H48" s="24"/>
      <c r="I48" s="24" t="s">
        <v>1188</v>
      </c>
      <c r="J48" s="388">
        <f t="shared" ref="J48:J49" si="12">E48</f>
        <v>581.97825999999998</v>
      </c>
    </row>
    <row r="49" spans="2:10">
      <c r="B49" s="89"/>
      <c r="C49" s="90" t="s">
        <v>1322</v>
      </c>
      <c r="D49" s="388"/>
      <c r="E49" s="388">
        <f>'F1 '!I22</f>
        <v>1154.934385</v>
      </c>
      <c r="F49" s="388">
        <f t="shared" si="11"/>
        <v>1154.934385</v>
      </c>
      <c r="G49" s="24"/>
      <c r="H49" s="24"/>
      <c r="I49" s="24" t="s">
        <v>1188</v>
      </c>
      <c r="J49" s="388">
        <f t="shared" si="12"/>
        <v>1154.934385</v>
      </c>
    </row>
    <row r="50" spans="2:10">
      <c r="B50" s="92">
        <v>13</v>
      </c>
      <c r="C50" s="93" t="s">
        <v>96</v>
      </c>
      <c r="D50" s="388">
        <f>D46-SUM(D47:D49)</f>
        <v>3076.5</v>
      </c>
      <c r="E50" s="388">
        <f t="shared" ref="E50:F50" ca="1" si="13">E46-SUM(E47:E49)</f>
        <v>2934.6416362754317</v>
      </c>
      <c r="F50" s="388">
        <f t="shared" ca="1" si="13"/>
        <v>-141.85836372456879</v>
      </c>
      <c r="G50" s="24"/>
      <c r="H50" s="24"/>
      <c r="I50" s="24"/>
      <c r="J50" s="388">
        <f ca="1">J46-SUM(J47:J49)</f>
        <v>2680.4485505961902</v>
      </c>
    </row>
    <row r="51" spans="2:10">
      <c r="B51" s="94"/>
      <c r="C51" s="95"/>
      <c r="D51" s="388"/>
      <c r="E51" s="388"/>
      <c r="F51" s="388"/>
      <c r="G51" s="24"/>
      <c r="H51" s="24"/>
      <c r="I51" s="24"/>
      <c r="J51" s="24"/>
    </row>
    <row r="52" spans="2:10">
      <c r="B52" s="94">
        <v>14</v>
      </c>
      <c r="C52" s="96" t="s">
        <v>514</v>
      </c>
      <c r="D52" s="388">
        <v>3076.5</v>
      </c>
      <c r="E52" s="388">
        <f>'F11'!R27-'F11'!P37</f>
        <v>3071.5161199999998</v>
      </c>
      <c r="F52" s="388">
        <f t="shared" ref="F52" si="14">E52-D52</f>
        <v>-4.9838800000002266</v>
      </c>
      <c r="G52" s="24"/>
      <c r="H52" s="24"/>
      <c r="I52" s="24" t="s">
        <v>1188</v>
      </c>
      <c r="J52" s="388">
        <f>E52</f>
        <v>3071.5161199999998</v>
      </c>
    </row>
    <row r="53" spans="2:10">
      <c r="B53" s="97"/>
      <c r="C53" s="98"/>
      <c r="D53" s="388"/>
      <c r="E53" s="388"/>
      <c r="F53" s="388"/>
      <c r="G53" s="24"/>
      <c r="H53" s="24"/>
      <c r="I53" s="24"/>
      <c r="J53" s="24"/>
    </row>
    <row r="54" spans="2:10">
      <c r="B54" s="94">
        <v>15</v>
      </c>
      <c r="C54" s="99" t="s">
        <v>515</v>
      </c>
      <c r="D54" s="383">
        <f>D50-D52</f>
        <v>0</v>
      </c>
      <c r="E54" s="383">
        <f ca="1">E50-E52</f>
        <v>-136.87448372456811</v>
      </c>
      <c r="F54" s="388">
        <f t="shared" ref="F54" ca="1" si="15">E54-D54</f>
        <v>-136.87448372456811</v>
      </c>
      <c r="G54" s="29"/>
      <c r="H54" s="29"/>
      <c r="I54" s="29"/>
      <c r="J54" s="383">
        <f ca="1">J50-J52</f>
        <v>-391.06756940380956</v>
      </c>
    </row>
    <row r="55" spans="2:10">
      <c r="B55" s="100"/>
      <c r="C55" s="101"/>
      <c r="D55" s="23"/>
      <c r="E55" s="23"/>
      <c r="F55" s="23"/>
      <c r="G55" s="23"/>
      <c r="H55" s="23"/>
      <c r="I55" s="23"/>
    </row>
    <row r="56" spans="2:10">
      <c r="B56" s="84" t="s">
        <v>516</v>
      </c>
    </row>
  </sheetData>
  <pageMargins left="0.75" right="0.75" top="1" bottom="1" header="0.5" footer="0.5"/>
  <pageSetup paperSize="9" scale="46" orientation="landscape" r:id="rId1"/>
  <headerFooter alignWithMargins="0"/>
</worksheet>
</file>

<file path=xl/worksheets/sheet28.xml><?xml version="1.0" encoding="utf-8"?>
<worksheet xmlns="http://schemas.openxmlformats.org/spreadsheetml/2006/main" xmlns:r="http://schemas.openxmlformats.org/officeDocument/2006/relationships">
  <sheetPr>
    <pageSetUpPr fitToPage="1"/>
  </sheetPr>
  <dimension ref="B2:S86"/>
  <sheetViews>
    <sheetView showGridLines="0" view="pageBreakPreview" topLeftCell="A59" zoomScale="60" zoomScaleNormal="75" workbookViewId="0">
      <selection activeCell="D83" sqref="D83"/>
    </sheetView>
  </sheetViews>
  <sheetFormatPr defaultColWidth="9.28515625" defaultRowHeight="15"/>
  <cols>
    <col min="1" max="1" width="4.28515625" style="201" customWidth="1"/>
    <col min="2" max="2" width="32" style="201" customWidth="1"/>
    <col min="3" max="11" width="19.42578125" style="201" customWidth="1"/>
    <col min="12" max="12" width="13.42578125" style="201" bestFit="1" customWidth="1"/>
    <col min="13" max="14" width="9.28515625" style="201"/>
    <col min="15" max="16" width="14" style="201" bestFit="1" customWidth="1"/>
    <col min="17" max="16384" width="9.28515625" style="201"/>
  </cols>
  <sheetData>
    <row r="2" spans="2:11">
      <c r="E2" s="226"/>
      <c r="F2" s="226"/>
      <c r="H2" s="81" t="s">
        <v>0</v>
      </c>
    </row>
    <row r="3" spans="2:11">
      <c r="E3" s="228"/>
      <c r="F3" s="228"/>
      <c r="H3" s="88" t="s">
        <v>1</v>
      </c>
    </row>
    <row r="4" spans="2:11">
      <c r="E4" s="228"/>
      <c r="F4" s="228"/>
      <c r="H4" s="61" t="s">
        <v>517</v>
      </c>
    </row>
    <row r="5" spans="2:11">
      <c r="B5" s="229"/>
      <c r="C5" s="229"/>
      <c r="D5" s="229"/>
      <c r="E5" s="230"/>
      <c r="F5" s="230"/>
      <c r="G5" s="227"/>
    </row>
    <row r="6" spans="2:11">
      <c r="B6" s="229"/>
      <c r="C6" s="229"/>
      <c r="D6" s="229"/>
      <c r="E6" s="230"/>
      <c r="F6" s="230"/>
      <c r="G6" s="227"/>
    </row>
    <row r="7" spans="2:11" ht="24" customHeight="1">
      <c r="B7" s="243" t="s">
        <v>518</v>
      </c>
      <c r="C7" s="242"/>
      <c r="D7" s="200"/>
      <c r="E7" s="230"/>
      <c r="F7" s="230"/>
      <c r="G7" s="227"/>
    </row>
    <row r="8" spans="2:11" hidden="1">
      <c r="B8" s="231"/>
      <c r="C8" s="231"/>
      <c r="D8" s="231"/>
      <c r="K8" s="232" t="s">
        <v>519</v>
      </c>
    </row>
    <row r="9" spans="2:11" s="115" customFormat="1" ht="12.75" hidden="1" customHeight="1">
      <c r="B9" s="1008" t="s">
        <v>57</v>
      </c>
      <c r="C9" s="963" t="s">
        <v>58</v>
      </c>
      <c r="D9" s="964"/>
      <c r="E9" s="963" t="s">
        <v>59</v>
      </c>
      <c r="F9" s="964"/>
      <c r="G9" s="963" t="s">
        <v>60</v>
      </c>
      <c r="H9" s="964"/>
      <c r="I9" s="964"/>
      <c r="J9" s="964"/>
      <c r="K9" s="954" t="s">
        <v>62</v>
      </c>
    </row>
    <row r="10" spans="2:11" s="115" customFormat="1" ht="27.6" hidden="1" customHeight="1">
      <c r="B10" s="1008"/>
      <c r="C10" s="198" t="s">
        <v>63</v>
      </c>
      <c r="D10" s="198" t="s">
        <v>520</v>
      </c>
      <c r="E10" s="198" t="s">
        <v>63</v>
      </c>
      <c r="F10" s="198" t="s">
        <v>521</v>
      </c>
      <c r="G10" s="198" t="s">
        <v>63</v>
      </c>
      <c r="H10" s="198" t="s">
        <v>66</v>
      </c>
      <c r="I10" s="198" t="s">
        <v>67</v>
      </c>
      <c r="J10" s="198" t="s">
        <v>68</v>
      </c>
      <c r="K10" s="954"/>
    </row>
    <row r="11" spans="2:11" s="115" customFormat="1" ht="14.1" hidden="1" customHeight="1">
      <c r="B11" s="1043"/>
      <c r="C11" s="198" t="s">
        <v>75</v>
      </c>
      <c r="D11" s="198" t="s">
        <v>76</v>
      </c>
      <c r="E11" s="198" t="s">
        <v>116</v>
      </c>
      <c r="F11" s="198" t="s">
        <v>78</v>
      </c>
      <c r="G11" s="198" t="s">
        <v>79</v>
      </c>
      <c r="H11" s="198" t="s">
        <v>319</v>
      </c>
      <c r="I11" s="198" t="s">
        <v>522</v>
      </c>
      <c r="J11" s="198" t="s">
        <v>523</v>
      </c>
      <c r="K11" s="955"/>
    </row>
    <row r="12" spans="2:11" s="226" customFormat="1" ht="14.25" hidden="1">
      <c r="B12" s="209" t="s">
        <v>524</v>
      </c>
      <c r="C12" s="233"/>
      <c r="D12" s="234"/>
      <c r="E12" s="1047"/>
      <c r="F12" s="234"/>
      <c r="G12" s="1044"/>
      <c r="H12" s="208"/>
      <c r="I12" s="1044"/>
      <c r="J12" s="1044"/>
      <c r="K12" s="208"/>
    </row>
    <row r="13" spans="2:11" s="226" customFormat="1" hidden="1">
      <c r="B13" s="211" t="s">
        <v>525</v>
      </c>
      <c r="C13" s="235"/>
      <c r="D13" s="234"/>
      <c r="E13" s="1048"/>
      <c r="F13" s="234"/>
      <c r="G13" s="1045"/>
      <c r="H13" s="208"/>
      <c r="I13" s="1045"/>
      <c r="J13" s="1045"/>
      <c r="K13" s="208"/>
    </row>
    <row r="14" spans="2:11" s="226" customFormat="1" hidden="1">
      <c r="B14" s="211" t="s">
        <v>526</v>
      </c>
      <c r="C14" s="235"/>
      <c r="D14" s="234"/>
      <c r="E14" s="1048"/>
      <c r="F14" s="234"/>
      <c r="G14" s="1045"/>
      <c r="H14" s="208"/>
      <c r="I14" s="1045"/>
      <c r="J14" s="1045"/>
      <c r="K14" s="208"/>
    </row>
    <row r="15" spans="2:11" s="226" customFormat="1" hidden="1">
      <c r="B15" s="211" t="s">
        <v>527</v>
      </c>
      <c r="C15" s="235"/>
      <c r="D15" s="234"/>
      <c r="E15" s="1048"/>
      <c r="F15" s="234"/>
      <c r="G15" s="1045"/>
      <c r="H15" s="208"/>
      <c r="I15" s="1045"/>
      <c r="J15" s="1045"/>
      <c r="K15" s="208"/>
    </row>
    <row r="16" spans="2:11" s="226" customFormat="1" hidden="1">
      <c r="B16" s="211" t="s">
        <v>278</v>
      </c>
      <c r="C16" s="235"/>
      <c r="D16" s="234"/>
      <c r="E16" s="1048"/>
      <c r="F16" s="234"/>
      <c r="G16" s="1045"/>
      <c r="H16" s="208"/>
      <c r="I16" s="1045"/>
      <c r="J16" s="1045"/>
      <c r="K16" s="208"/>
    </row>
    <row r="17" spans="2:11" s="226" customFormat="1" ht="14.25" hidden="1">
      <c r="B17" s="209" t="s">
        <v>528</v>
      </c>
      <c r="C17" s="236"/>
      <c r="D17" s="234"/>
      <c r="E17" s="1048"/>
      <c r="F17" s="234"/>
      <c r="G17" s="1045"/>
      <c r="H17" s="208"/>
      <c r="I17" s="1045"/>
      <c r="J17" s="1045"/>
      <c r="K17" s="208"/>
    </row>
    <row r="18" spans="2:11" s="226" customFormat="1" hidden="1">
      <c r="B18" s="211" t="s">
        <v>529</v>
      </c>
      <c r="C18" s="235"/>
      <c r="D18" s="234"/>
      <c r="E18" s="1048"/>
      <c r="F18" s="234"/>
      <c r="G18" s="1045"/>
      <c r="H18" s="208"/>
      <c r="I18" s="1045"/>
      <c r="J18" s="1045"/>
      <c r="K18" s="208"/>
    </row>
    <row r="19" spans="2:11" s="226" customFormat="1" hidden="1">
      <c r="B19" s="211" t="s">
        <v>530</v>
      </c>
      <c r="C19" s="235"/>
      <c r="D19" s="208"/>
      <c r="E19" s="1048"/>
      <c r="F19" s="208"/>
      <c r="G19" s="1045"/>
      <c r="H19" s="208"/>
      <c r="I19" s="1045"/>
      <c r="J19" s="1045"/>
      <c r="K19" s="208"/>
    </row>
    <row r="20" spans="2:11" s="226" customFormat="1" hidden="1">
      <c r="B20" s="211" t="s">
        <v>531</v>
      </c>
      <c r="C20" s="235"/>
      <c r="D20" s="208"/>
      <c r="E20" s="1048"/>
      <c r="F20" s="208"/>
      <c r="G20" s="1045"/>
      <c r="H20" s="208"/>
      <c r="I20" s="1045"/>
      <c r="J20" s="1045"/>
      <c r="K20" s="208"/>
    </row>
    <row r="21" spans="2:11" s="226" customFormat="1" hidden="1">
      <c r="B21" s="211" t="s">
        <v>532</v>
      </c>
      <c r="C21" s="235"/>
      <c r="D21" s="208"/>
      <c r="E21" s="1048"/>
      <c r="F21" s="208"/>
      <c r="G21" s="1045"/>
      <c r="H21" s="208"/>
      <c r="I21" s="1045"/>
      <c r="J21" s="1045"/>
      <c r="K21" s="208"/>
    </row>
    <row r="22" spans="2:11" s="226" customFormat="1" hidden="1">
      <c r="B22" s="211" t="s">
        <v>504</v>
      </c>
      <c r="C22" s="235"/>
      <c r="D22" s="208"/>
      <c r="E22" s="1048"/>
      <c r="F22" s="208"/>
      <c r="G22" s="1045"/>
      <c r="H22" s="208"/>
      <c r="I22" s="1045"/>
      <c r="J22" s="1045"/>
      <c r="K22" s="208"/>
    </row>
    <row r="23" spans="2:11" s="226" customFormat="1" ht="14.25" hidden="1">
      <c r="B23" s="209" t="s">
        <v>528</v>
      </c>
      <c r="C23" s="236"/>
      <c r="D23" s="208"/>
      <c r="E23" s="1048"/>
      <c r="F23" s="208"/>
      <c r="G23" s="1045"/>
      <c r="H23" s="208"/>
      <c r="I23" s="1045"/>
      <c r="J23" s="1045"/>
      <c r="K23" s="208"/>
    </row>
    <row r="24" spans="2:11" s="226" customFormat="1" ht="14.25" hidden="1">
      <c r="B24" s="209"/>
      <c r="C24" s="236"/>
      <c r="D24" s="208"/>
      <c r="E24" s="1048"/>
      <c r="F24" s="208"/>
      <c r="G24" s="1045"/>
      <c r="H24" s="208"/>
      <c r="I24" s="1045"/>
      <c r="J24" s="1045"/>
      <c r="K24" s="208"/>
    </row>
    <row r="25" spans="2:11" s="226" customFormat="1" ht="14.25" hidden="1">
      <c r="B25" s="209" t="s">
        <v>533</v>
      </c>
      <c r="C25" s="236"/>
      <c r="D25" s="208"/>
      <c r="E25" s="1048"/>
      <c r="F25" s="208"/>
      <c r="G25" s="1045"/>
      <c r="H25" s="208"/>
      <c r="I25" s="1045"/>
      <c r="J25" s="1045"/>
      <c r="K25" s="208"/>
    </row>
    <row r="26" spans="2:11" s="226" customFormat="1" hidden="1">
      <c r="B26" s="211" t="s">
        <v>534</v>
      </c>
      <c r="C26" s="235"/>
      <c r="D26" s="208"/>
      <c r="E26" s="1048"/>
      <c r="F26" s="208"/>
      <c r="G26" s="1045"/>
      <c r="H26" s="208"/>
      <c r="I26" s="1045"/>
      <c r="J26" s="1045"/>
      <c r="K26" s="208"/>
    </row>
    <row r="27" spans="2:11" s="226" customFormat="1" hidden="1">
      <c r="B27" s="211" t="s">
        <v>535</v>
      </c>
      <c r="C27" s="235"/>
      <c r="D27" s="208"/>
      <c r="E27" s="1048"/>
      <c r="F27" s="208"/>
      <c r="G27" s="1045"/>
      <c r="H27" s="208"/>
      <c r="I27" s="1045"/>
      <c r="J27" s="1045"/>
      <c r="K27" s="208"/>
    </row>
    <row r="28" spans="2:11" s="226" customFormat="1" hidden="1">
      <c r="B28" s="211" t="s">
        <v>536</v>
      </c>
      <c r="C28" s="235"/>
      <c r="D28" s="208"/>
      <c r="E28" s="1048"/>
      <c r="F28" s="208"/>
      <c r="G28" s="1045"/>
      <c r="H28" s="208"/>
      <c r="I28" s="1045"/>
      <c r="J28" s="1045"/>
      <c r="K28" s="208"/>
    </row>
    <row r="29" spans="2:11" s="226" customFormat="1" hidden="1">
      <c r="B29" s="211" t="s">
        <v>504</v>
      </c>
      <c r="C29" s="235"/>
      <c r="D29" s="208"/>
      <c r="E29" s="1048"/>
      <c r="F29" s="208"/>
      <c r="G29" s="1045"/>
      <c r="H29" s="208"/>
      <c r="I29" s="1045"/>
      <c r="J29" s="1045"/>
      <c r="K29" s="208"/>
    </row>
    <row r="30" spans="2:11" s="226" customFormat="1" ht="14.25" hidden="1">
      <c r="B30" s="209" t="s">
        <v>528</v>
      </c>
      <c r="C30" s="236"/>
      <c r="D30" s="208"/>
      <c r="E30" s="1048"/>
      <c r="F30" s="208"/>
      <c r="G30" s="1045"/>
      <c r="H30" s="208"/>
      <c r="I30" s="1045"/>
      <c r="J30" s="1045"/>
      <c r="K30" s="208"/>
    </row>
    <row r="31" spans="2:11" hidden="1">
      <c r="B31" s="237"/>
      <c r="C31" s="238"/>
      <c r="D31" s="204"/>
      <c r="E31" s="1049"/>
      <c r="F31" s="204"/>
      <c r="G31" s="1046"/>
      <c r="H31" s="208"/>
      <c r="I31" s="1046"/>
      <c r="J31" s="1046"/>
      <c r="K31" s="208"/>
    </row>
    <row r="32" spans="2:11" hidden="1">
      <c r="B32" s="239" t="s">
        <v>235</v>
      </c>
      <c r="C32" s="239"/>
      <c r="D32" s="239"/>
      <c r="E32" s="240"/>
      <c r="F32" s="240"/>
      <c r="G32" s="208"/>
      <c r="H32" s="208"/>
      <c r="I32" s="208"/>
      <c r="J32" s="208"/>
      <c r="K32" s="208"/>
    </row>
    <row r="33" spans="2:17" ht="18" hidden="1">
      <c r="G33" s="241"/>
    </row>
    <row r="34" spans="2:17" hidden="1">
      <c r="B34" s="115" t="s">
        <v>537</v>
      </c>
      <c r="C34" s="115"/>
      <c r="D34" s="115"/>
    </row>
    <row r="35" spans="2:17" hidden="1"/>
    <row r="36" spans="2:17" hidden="1"/>
    <row r="37" spans="2:17" hidden="1">
      <c r="B37" s="243" t="s">
        <v>538</v>
      </c>
    </row>
    <row r="38" spans="2:17" hidden="1"/>
    <row r="39" spans="2:17" hidden="1">
      <c r="B39" s="231"/>
      <c r="C39" s="231"/>
      <c r="D39" s="231"/>
      <c r="K39" s="232"/>
    </row>
    <row r="40" spans="2:17" hidden="1">
      <c r="B40" s="1008" t="s">
        <v>57</v>
      </c>
      <c r="C40" s="963" t="s">
        <v>58</v>
      </c>
      <c r="D40" s="964"/>
      <c r="E40" s="963" t="s">
        <v>59</v>
      </c>
      <c r="F40" s="964"/>
      <c r="G40" s="963" t="s">
        <v>60</v>
      </c>
      <c r="H40" s="964"/>
      <c r="I40" s="964"/>
      <c r="J40" s="964"/>
      <c r="K40" s="954" t="s">
        <v>62</v>
      </c>
    </row>
    <row r="41" spans="2:17" ht="28.5" hidden="1">
      <c r="B41" s="1008"/>
      <c r="C41" s="198" t="s">
        <v>63</v>
      </c>
      <c r="D41" s="198" t="s">
        <v>64</v>
      </c>
      <c r="E41" s="198" t="s">
        <v>63</v>
      </c>
      <c r="F41" s="198" t="s">
        <v>64</v>
      </c>
      <c r="G41" s="198" t="s">
        <v>63</v>
      </c>
      <c r="H41" s="198" t="s">
        <v>66</v>
      </c>
      <c r="I41" s="198" t="s">
        <v>67</v>
      </c>
      <c r="J41" s="198" t="s">
        <v>68</v>
      </c>
      <c r="K41" s="954"/>
    </row>
    <row r="42" spans="2:17" hidden="1">
      <c r="B42" s="1043"/>
      <c r="C42" s="198" t="s">
        <v>75</v>
      </c>
      <c r="D42" s="198" t="s">
        <v>76</v>
      </c>
      <c r="E42" s="198" t="s">
        <v>116</v>
      </c>
      <c r="F42" s="198" t="s">
        <v>78</v>
      </c>
      <c r="G42" s="198" t="s">
        <v>79</v>
      </c>
      <c r="H42" s="198" t="s">
        <v>319</v>
      </c>
      <c r="I42" s="198" t="s">
        <v>522</v>
      </c>
      <c r="J42" s="198" t="s">
        <v>523</v>
      </c>
      <c r="K42" s="955"/>
    </row>
    <row r="43" spans="2:17" ht="30" hidden="1">
      <c r="B43" s="268" t="s">
        <v>539</v>
      </c>
      <c r="C43" s="204"/>
      <c r="D43" s="204"/>
      <c r="E43" s="204"/>
      <c r="F43" s="204"/>
      <c r="G43" s="204"/>
      <c r="H43" s="204"/>
      <c r="I43" s="204"/>
      <c r="J43" s="204"/>
      <c r="K43" s="204"/>
    </row>
    <row r="44" spans="2:17" hidden="1">
      <c r="B44" s="268" t="s">
        <v>540</v>
      </c>
      <c r="C44" s="204"/>
      <c r="D44" s="204"/>
      <c r="E44" s="204"/>
      <c r="F44" s="204"/>
      <c r="G44" s="204"/>
      <c r="H44" s="204"/>
      <c r="I44" s="204"/>
      <c r="J44" s="204"/>
      <c r="K44" s="204"/>
    </row>
    <row r="45" spans="2:17" hidden="1"/>
    <row r="46" spans="2:17" hidden="1">
      <c r="B46" s="115" t="s">
        <v>537</v>
      </c>
    </row>
    <row r="47" spans="2:17">
      <c r="B47" s="115"/>
    </row>
    <row r="48" spans="2:17" s="115" customFormat="1" ht="12.75" customHeight="1">
      <c r="B48" s="1052" t="s">
        <v>57</v>
      </c>
      <c r="C48" s="963" t="s">
        <v>113</v>
      </c>
      <c r="D48" s="964"/>
      <c r="E48" s="963" t="s">
        <v>114</v>
      </c>
      <c r="F48" s="964"/>
      <c r="G48" s="963" t="s">
        <v>115</v>
      </c>
      <c r="H48" s="964"/>
      <c r="I48" s="963" t="s">
        <v>58</v>
      </c>
      <c r="J48" s="964"/>
      <c r="K48" s="963" t="s">
        <v>59</v>
      </c>
      <c r="L48" s="964"/>
      <c r="M48" s="963" t="s">
        <v>60</v>
      </c>
      <c r="N48" s="964"/>
      <c r="O48" s="964"/>
      <c r="P48" s="964"/>
      <c r="Q48" s="1050" t="s">
        <v>62</v>
      </c>
    </row>
    <row r="49" spans="2:19" s="115" customFormat="1" ht="27.6" customHeight="1">
      <c r="B49" s="1052"/>
      <c r="C49" s="570" t="s">
        <v>63</v>
      </c>
      <c r="D49" s="570" t="s">
        <v>520</v>
      </c>
      <c r="E49" s="570" t="s">
        <v>63</v>
      </c>
      <c r="F49" s="570" t="s">
        <v>520</v>
      </c>
      <c r="G49" s="570" t="s">
        <v>63</v>
      </c>
      <c r="H49" s="570" t="s">
        <v>520</v>
      </c>
      <c r="I49" s="570" t="s">
        <v>63</v>
      </c>
      <c r="J49" s="570" t="s">
        <v>520</v>
      </c>
      <c r="K49" s="570" t="s">
        <v>63</v>
      </c>
      <c r="L49" s="570" t="s">
        <v>521</v>
      </c>
      <c r="M49" s="570" t="s">
        <v>63</v>
      </c>
      <c r="N49" s="570" t="s">
        <v>1511</v>
      </c>
      <c r="O49" s="570" t="s">
        <v>67</v>
      </c>
      <c r="P49" s="570" t="s">
        <v>68</v>
      </c>
      <c r="Q49" s="1050"/>
    </row>
    <row r="50" spans="2:19" s="115" customFormat="1" ht="14.1" customHeight="1">
      <c r="B50" s="1053"/>
      <c r="C50" s="570" t="s">
        <v>75</v>
      </c>
      <c r="D50" s="570" t="s">
        <v>76</v>
      </c>
      <c r="E50" s="570" t="s">
        <v>75</v>
      </c>
      <c r="F50" s="570" t="s">
        <v>76</v>
      </c>
      <c r="G50" s="570" t="s">
        <v>75</v>
      </c>
      <c r="H50" s="570" t="s">
        <v>76</v>
      </c>
      <c r="I50" s="570" t="s">
        <v>75</v>
      </c>
      <c r="J50" s="570" t="s">
        <v>76</v>
      </c>
      <c r="K50" s="570" t="s">
        <v>116</v>
      </c>
      <c r="L50" s="570" t="s">
        <v>78</v>
      </c>
      <c r="M50" s="570" t="s">
        <v>79</v>
      </c>
      <c r="N50" s="570" t="s">
        <v>319</v>
      </c>
      <c r="O50" s="570" t="s">
        <v>522</v>
      </c>
      <c r="P50" s="570" t="s">
        <v>523</v>
      </c>
      <c r="Q50" s="1051"/>
    </row>
    <row r="51" spans="2:19" s="226" customFormat="1" ht="14.25">
      <c r="B51" s="571" t="s">
        <v>524</v>
      </c>
      <c r="C51" s="233"/>
      <c r="D51" s="572"/>
      <c r="E51" s="233"/>
      <c r="F51" s="572"/>
      <c r="G51" s="233"/>
      <c r="I51" s="233"/>
      <c r="J51" s="572"/>
      <c r="K51" s="573"/>
      <c r="L51" s="572"/>
      <c r="M51" s="574"/>
      <c r="N51" s="575"/>
      <c r="O51" s="574"/>
      <c r="P51" s="574"/>
      <c r="Q51" s="575"/>
    </row>
    <row r="52" spans="2:19" s="226" customFormat="1">
      <c r="B52" s="576" t="s">
        <v>1512</v>
      </c>
      <c r="C52" s="235"/>
      <c r="D52" s="577">
        <v>127911.31346</v>
      </c>
      <c r="E52" s="235"/>
      <c r="F52" s="577">
        <v>142021.24710026183</v>
      </c>
      <c r="G52" s="578"/>
      <c r="H52" s="577">
        <v>142056</v>
      </c>
      <c r="I52" s="578"/>
      <c r="J52" s="579">
        <v>152532.08271699998</v>
      </c>
      <c r="K52" s="580"/>
      <c r="L52" s="579">
        <v>166406.34094540001</v>
      </c>
      <c r="M52" s="581"/>
      <c r="N52" s="475">
        <v>67760.259944999998</v>
      </c>
      <c r="O52" s="582">
        <v>112350.1219242994</v>
      </c>
      <c r="P52" s="582">
        <f>N52+O52</f>
        <v>180110.3818692994</v>
      </c>
      <c r="Q52" s="575"/>
      <c r="S52" s="583"/>
    </row>
    <row r="53" spans="2:19" s="226" customFormat="1">
      <c r="B53" s="576" t="s">
        <v>1513</v>
      </c>
      <c r="C53" s="235"/>
      <c r="D53" s="577">
        <v>3547.7979874019079</v>
      </c>
      <c r="E53" s="235"/>
      <c r="F53" s="577">
        <v>3383.0399835483358</v>
      </c>
      <c r="G53" s="578"/>
      <c r="H53" s="577">
        <v>3383.0399835483358</v>
      </c>
      <c r="I53" s="578"/>
      <c r="J53" s="579">
        <v>4077.4978179999998</v>
      </c>
      <c r="K53" s="580"/>
      <c r="L53" s="579">
        <v>4341.7782440000001</v>
      </c>
      <c r="M53" s="581"/>
      <c r="N53" s="475">
        <v>1983.6072060000001</v>
      </c>
      <c r="O53" s="582">
        <v>2944.5078597989391</v>
      </c>
      <c r="P53" s="582">
        <f t="shared" ref="P53:P55" si="0">N53+O53</f>
        <v>4928.1150657989392</v>
      </c>
      <c r="Q53" s="575"/>
      <c r="S53" s="583"/>
    </row>
    <row r="54" spans="2:19" s="226" customFormat="1">
      <c r="B54" s="576" t="s">
        <v>1514</v>
      </c>
      <c r="C54" s="235"/>
      <c r="D54" s="577">
        <v>11149.471824300001</v>
      </c>
      <c r="E54" s="235"/>
      <c r="F54" s="577">
        <v>10401.577076000001</v>
      </c>
      <c r="G54" s="578"/>
      <c r="H54" s="577">
        <v>10401.577076000001</v>
      </c>
      <c r="I54" s="578"/>
      <c r="J54" s="579">
        <v>11491.516367</v>
      </c>
      <c r="K54" s="580"/>
      <c r="L54" s="579">
        <v>12274.403737152001</v>
      </c>
      <c r="M54" s="581"/>
      <c r="N54" s="475">
        <v>5764.217818000001</v>
      </c>
      <c r="O54" s="582">
        <v>7571.3902727906898</v>
      </c>
      <c r="P54" s="582">
        <f t="shared" si="0"/>
        <v>13335.608090790691</v>
      </c>
      <c r="Q54" s="575"/>
      <c r="S54" s="583"/>
    </row>
    <row r="55" spans="2:19" s="226" customFormat="1">
      <c r="B55" s="576" t="s">
        <v>1515</v>
      </c>
      <c r="C55" s="235"/>
      <c r="D55" s="577">
        <v>4791.8191279999992</v>
      </c>
      <c r="E55" s="235"/>
      <c r="F55" s="577">
        <v>4261.8255896000001</v>
      </c>
      <c r="G55" s="578"/>
      <c r="H55" s="577">
        <v>4261.8255896000001</v>
      </c>
      <c r="I55" s="578"/>
      <c r="J55" s="579">
        <v>4678.6756000000005</v>
      </c>
      <c r="K55" s="580"/>
      <c r="L55" s="579">
        <v>4944.0615520000001</v>
      </c>
      <c r="M55" s="581"/>
      <c r="N55" s="475">
        <v>2260.6549070000001</v>
      </c>
      <c r="O55" s="582">
        <v>3065.4161148917374</v>
      </c>
      <c r="P55" s="582">
        <f t="shared" si="0"/>
        <v>5326.0710218917375</v>
      </c>
      <c r="Q55" s="575"/>
      <c r="S55" s="583"/>
    </row>
    <row r="56" spans="2:19" s="226" customFormat="1">
      <c r="B56" s="571" t="s">
        <v>528</v>
      </c>
      <c r="C56" s="236"/>
      <c r="D56" s="584">
        <f>D52+D53+D54+D55</f>
        <v>147400.40239970194</v>
      </c>
      <c r="E56" s="236"/>
      <c r="F56" s="584">
        <f>F52+F53+F54+F55</f>
        <v>160067.68974941017</v>
      </c>
      <c r="G56" s="585"/>
      <c r="H56" s="584">
        <f t="shared" ref="H56" si="1">H52+H53+H54+H55</f>
        <v>160102.44264914832</v>
      </c>
      <c r="I56" s="578"/>
      <c r="J56" s="584">
        <f t="shared" ref="J56" si="2">J52+J53+J54+J55</f>
        <v>172779.77250199998</v>
      </c>
      <c r="K56" s="580"/>
      <c r="L56" s="572">
        <f>L52+L53+L54+L55</f>
        <v>187966.58447855199</v>
      </c>
      <c r="M56" s="581"/>
      <c r="N56" s="575">
        <f>N52+N53+N54+N55</f>
        <v>77768.739876000007</v>
      </c>
      <c r="O56" s="586">
        <f>SUM(O52:O55)</f>
        <v>125931.43617178075</v>
      </c>
      <c r="P56" s="586">
        <f>N56+O56</f>
        <v>203700.17604778075</v>
      </c>
      <c r="Q56" s="575"/>
      <c r="S56" s="583"/>
    </row>
    <row r="57" spans="2:19" s="226" customFormat="1">
      <c r="B57" s="571"/>
      <c r="C57" s="236"/>
      <c r="D57" s="587"/>
      <c r="E57" s="236"/>
      <c r="F57" s="587"/>
      <c r="G57" s="588"/>
      <c r="H57" s="587"/>
      <c r="I57" s="578"/>
      <c r="J57" s="575"/>
      <c r="K57" s="580"/>
      <c r="L57" s="575"/>
      <c r="M57" s="581"/>
      <c r="N57" s="575"/>
      <c r="O57" s="582"/>
      <c r="P57" s="575"/>
      <c r="Q57" s="575"/>
      <c r="S57" s="583"/>
    </row>
    <row r="58" spans="2:19" s="226" customFormat="1">
      <c r="B58" s="571" t="s">
        <v>533</v>
      </c>
      <c r="C58" s="236"/>
      <c r="D58" s="587"/>
      <c r="E58" s="236"/>
      <c r="F58" s="587"/>
      <c r="G58" s="588"/>
      <c r="H58" s="587"/>
      <c r="I58" s="578"/>
      <c r="J58" s="575"/>
      <c r="K58" s="580"/>
      <c r="L58" s="575"/>
      <c r="M58" s="581"/>
      <c r="N58" s="575"/>
      <c r="O58" s="582"/>
      <c r="P58" s="575"/>
      <c r="Q58" s="575"/>
      <c r="S58" s="583"/>
    </row>
    <row r="59" spans="2:19" s="226" customFormat="1">
      <c r="B59" s="576" t="s">
        <v>1516</v>
      </c>
      <c r="C59" s="235"/>
      <c r="D59" s="587">
        <v>2670.1433425599998</v>
      </c>
      <c r="E59" s="235"/>
      <c r="F59" s="587">
        <v>1747.6056842599999</v>
      </c>
      <c r="G59" s="578"/>
      <c r="H59" s="587">
        <v>2648.2027228070001</v>
      </c>
      <c r="I59" s="578"/>
      <c r="J59" s="475">
        <v>3152.9171619999997</v>
      </c>
      <c r="K59" s="580"/>
      <c r="L59" s="475">
        <v>3517.8799499999996</v>
      </c>
      <c r="M59" s="581"/>
      <c r="N59" s="475">
        <v>1588.7293619999998</v>
      </c>
      <c r="O59" s="582">
        <v>2467.9869748780457</v>
      </c>
      <c r="P59" s="475">
        <f t="shared" ref="P59:P72" si="3">N59+O59</f>
        <v>4056.7163368780457</v>
      </c>
      <c r="Q59" s="575"/>
      <c r="S59" s="583"/>
    </row>
    <row r="60" spans="2:19" s="226" customFormat="1">
      <c r="B60" s="576" t="s">
        <v>1517</v>
      </c>
      <c r="C60" s="235"/>
      <c r="D60" s="587"/>
      <c r="E60" s="235"/>
      <c r="F60" s="587"/>
      <c r="G60" s="578"/>
      <c r="H60" s="587">
        <v>42.019199440000001</v>
      </c>
      <c r="I60" s="578"/>
      <c r="J60" s="475">
        <v>53.827096000000004</v>
      </c>
      <c r="K60" s="580"/>
      <c r="L60" s="475">
        <v>57.398505000000007</v>
      </c>
      <c r="M60" s="581"/>
      <c r="N60" s="475">
        <v>23.995835</v>
      </c>
      <c r="O60" s="582">
        <v>43.371687859757344</v>
      </c>
      <c r="P60" s="475">
        <f t="shared" si="3"/>
        <v>67.367522859757344</v>
      </c>
      <c r="Q60" s="575"/>
      <c r="S60" s="583"/>
    </row>
    <row r="61" spans="2:19" s="226" customFormat="1">
      <c r="B61" s="576" t="s">
        <v>1518</v>
      </c>
      <c r="C61" s="235"/>
      <c r="D61" s="587"/>
      <c r="E61" s="235"/>
      <c r="F61" s="587"/>
      <c r="G61" s="578"/>
      <c r="H61" s="587">
        <v>19.105333999999999</v>
      </c>
      <c r="I61" s="578"/>
      <c r="J61" s="475">
        <v>27.550186</v>
      </c>
      <c r="K61" s="580"/>
      <c r="L61" s="475">
        <v>26.995803000000002</v>
      </c>
      <c r="M61" s="581"/>
      <c r="N61" s="475">
        <v>12.117291</v>
      </c>
      <c r="O61" s="582">
        <v>20.573178766606176</v>
      </c>
      <c r="P61" s="475">
        <f t="shared" si="3"/>
        <v>32.690469766606178</v>
      </c>
      <c r="Q61" s="575"/>
      <c r="S61" s="583"/>
    </row>
    <row r="62" spans="2:19" s="226" customFormat="1">
      <c r="B62" s="576" t="s">
        <v>1519</v>
      </c>
      <c r="C62" s="235"/>
      <c r="D62" s="587">
        <v>3.2792928395000001</v>
      </c>
      <c r="E62" s="235"/>
      <c r="F62" s="587">
        <v>8.0162399999999998</v>
      </c>
      <c r="G62" s="578"/>
      <c r="H62" s="587">
        <v>17.105747000000001</v>
      </c>
      <c r="I62" s="578"/>
      <c r="J62" s="475">
        <v>25.710919000000001</v>
      </c>
      <c r="K62" s="580"/>
      <c r="L62" s="475">
        <v>39.459913</v>
      </c>
      <c r="M62" s="581"/>
      <c r="N62" s="475">
        <v>28.850838000000003</v>
      </c>
      <c r="O62" s="582">
        <v>31.085030592597121</v>
      </c>
      <c r="P62" s="475">
        <f t="shared" si="3"/>
        <v>59.935868592597124</v>
      </c>
      <c r="Q62" s="575"/>
      <c r="S62" s="583"/>
    </row>
    <row r="63" spans="2:19" s="226" customFormat="1">
      <c r="B63" s="576" t="s">
        <v>1520</v>
      </c>
      <c r="C63" s="236"/>
      <c r="D63" s="587">
        <v>5.2742619999999985</v>
      </c>
      <c r="E63" s="236"/>
      <c r="F63" s="587">
        <v>9.8273040999999992</v>
      </c>
      <c r="G63" s="588"/>
      <c r="H63" s="587">
        <v>14.467267399999999</v>
      </c>
      <c r="I63" s="578"/>
      <c r="J63" s="475">
        <v>22.893765999999999</v>
      </c>
      <c r="K63" s="580"/>
      <c r="L63" s="475">
        <v>24.909437</v>
      </c>
      <c r="M63" s="581"/>
      <c r="N63" s="475">
        <v>11.346448000000001</v>
      </c>
      <c r="O63" s="582">
        <v>21.91384301797131</v>
      </c>
      <c r="P63" s="475">
        <f t="shared" si="3"/>
        <v>33.260291017971312</v>
      </c>
      <c r="Q63" s="575"/>
      <c r="S63" s="583"/>
    </row>
    <row r="64" spans="2:19">
      <c r="B64" s="576" t="s">
        <v>1521</v>
      </c>
      <c r="C64" s="238"/>
      <c r="D64" s="587"/>
      <c r="E64" s="238"/>
      <c r="F64" s="587"/>
      <c r="G64" s="589"/>
      <c r="H64" s="587">
        <v>38.89469038</v>
      </c>
      <c r="I64" s="578"/>
      <c r="J64" s="475">
        <v>29.146450999999999</v>
      </c>
      <c r="K64" s="580"/>
      <c r="L64" s="475">
        <v>38.550044999999997</v>
      </c>
      <c r="M64" s="581"/>
      <c r="N64" s="475">
        <v>19.549888000000003</v>
      </c>
      <c r="O64" s="582">
        <v>20.387976611902232</v>
      </c>
      <c r="P64" s="475">
        <f t="shared" si="3"/>
        <v>39.937864611902235</v>
      </c>
      <c r="Q64" s="575"/>
      <c r="S64" s="583"/>
    </row>
    <row r="65" spans="2:19">
      <c r="B65" s="576" t="s">
        <v>1522</v>
      </c>
      <c r="C65" s="590"/>
      <c r="D65" s="591"/>
      <c r="E65" s="590"/>
      <c r="F65" s="591"/>
      <c r="G65" s="585"/>
      <c r="H65" s="587">
        <v>2.9181452090000004</v>
      </c>
      <c r="I65" s="578"/>
      <c r="J65" s="480">
        <v>3.3947930000000004</v>
      </c>
      <c r="K65" s="580"/>
      <c r="L65" s="592">
        <v>3.3851620000000002</v>
      </c>
      <c r="M65" s="581"/>
      <c r="N65" s="475">
        <v>1.600957</v>
      </c>
      <c r="O65" s="582">
        <v>2.0558681545202377</v>
      </c>
      <c r="P65" s="475">
        <f t="shared" si="3"/>
        <v>3.6568251545202379</v>
      </c>
      <c r="Q65" s="575"/>
      <c r="S65" s="583"/>
    </row>
    <row r="66" spans="2:19">
      <c r="B66" s="593" t="s">
        <v>1523</v>
      </c>
      <c r="C66" s="475"/>
      <c r="D66" s="587"/>
      <c r="E66" s="475"/>
      <c r="F66" s="587"/>
      <c r="G66" s="594"/>
      <c r="H66" s="587">
        <v>13.265145</v>
      </c>
      <c r="I66" s="578"/>
      <c r="J66" s="475">
        <v>23.292484000000002</v>
      </c>
      <c r="K66" s="580"/>
      <c r="L66" s="475">
        <v>25.102852999999996</v>
      </c>
      <c r="M66" s="581"/>
      <c r="N66" s="475">
        <v>11.332395999999999</v>
      </c>
      <c r="O66" s="582">
        <v>24.233823007116857</v>
      </c>
      <c r="P66" s="475">
        <f t="shared" si="3"/>
        <v>35.566219007116857</v>
      </c>
      <c r="Q66" s="475"/>
      <c r="S66" s="583"/>
    </row>
    <row r="67" spans="2:19">
      <c r="B67" s="593" t="s">
        <v>1524</v>
      </c>
      <c r="C67" s="595"/>
      <c r="D67" s="596"/>
      <c r="E67" s="595"/>
      <c r="F67" s="596"/>
      <c r="G67" s="597"/>
      <c r="H67" s="596">
        <v>31.522505000000002</v>
      </c>
      <c r="I67" s="578"/>
      <c r="J67" s="595">
        <v>75.040792999999994</v>
      </c>
      <c r="K67" s="580"/>
      <c r="L67" s="475">
        <v>80.567509000000001</v>
      </c>
      <c r="M67" s="581"/>
      <c r="N67" s="475">
        <v>38.596468000000002</v>
      </c>
      <c r="O67" s="582">
        <v>100.55152036124265</v>
      </c>
      <c r="P67" s="475">
        <f t="shared" si="3"/>
        <v>139.14798836124265</v>
      </c>
      <c r="Q67" s="475"/>
      <c r="S67" s="583"/>
    </row>
    <row r="68" spans="2:19">
      <c r="B68" s="593" t="s">
        <v>1525</v>
      </c>
      <c r="C68" s="475"/>
      <c r="D68" s="587"/>
      <c r="E68" s="475"/>
      <c r="F68" s="587"/>
      <c r="G68" s="594"/>
      <c r="H68" s="587">
        <v>1.486213</v>
      </c>
      <c r="I68" s="578"/>
      <c r="J68" s="475">
        <v>4.7799810000000003</v>
      </c>
      <c r="K68" s="580"/>
      <c r="L68" s="475">
        <v>6.1049850000000001</v>
      </c>
      <c r="M68" s="581"/>
      <c r="N68" s="475">
        <v>2.5016889999999998</v>
      </c>
      <c r="O68" s="582">
        <v>11.214423224057779</v>
      </c>
      <c r="P68" s="475">
        <f t="shared" si="3"/>
        <v>13.716112224057778</v>
      </c>
      <c r="Q68" s="475"/>
      <c r="S68" s="583"/>
    </row>
    <row r="69" spans="2:19">
      <c r="B69" s="598" t="s">
        <v>1526</v>
      </c>
      <c r="C69" s="475"/>
      <c r="D69" s="587"/>
      <c r="E69" s="475"/>
      <c r="F69" s="587"/>
      <c r="G69" s="594"/>
      <c r="H69" s="587">
        <v>0</v>
      </c>
      <c r="I69" s="578"/>
      <c r="J69" s="475"/>
      <c r="K69" s="580"/>
      <c r="L69" s="475">
        <v>44.398463</v>
      </c>
      <c r="M69" s="581"/>
      <c r="N69" s="475">
        <v>52.375278999999999</v>
      </c>
      <c r="O69" s="582">
        <v>73.325389999999999</v>
      </c>
      <c r="P69" s="475">
        <f t="shared" si="3"/>
        <v>125.700669</v>
      </c>
      <c r="Q69" s="475"/>
      <c r="S69" s="583"/>
    </row>
    <row r="70" spans="2:19">
      <c r="B70" s="599" t="s">
        <v>1527</v>
      </c>
      <c r="C70" s="475"/>
      <c r="D70" s="587"/>
      <c r="E70" s="475"/>
      <c r="F70" s="587"/>
      <c r="G70" s="594"/>
      <c r="H70" s="587"/>
      <c r="I70" s="578"/>
      <c r="J70" s="475"/>
      <c r="K70" s="580"/>
      <c r="L70" s="475"/>
      <c r="M70" s="581"/>
      <c r="N70" s="475">
        <v>19.781359999999999</v>
      </c>
      <c r="O70" s="582">
        <v>27.693899999999999</v>
      </c>
      <c r="P70" s="475">
        <f t="shared" si="3"/>
        <v>47.475259999999999</v>
      </c>
      <c r="Q70" s="475"/>
      <c r="S70" s="583"/>
    </row>
    <row r="71" spans="2:19">
      <c r="B71" s="599" t="s">
        <v>1528</v>
      </c>
      <c r="C71" s="475"/>
      <c r="D71" s="587"/>
      <c r="E71" s="475"/>
      <c r="F71" s="587"/>
      <c r="G71" s="594"/>
      <c r="H71" s="587"/>
      <c r="I71" s="578"/>
      <c r="J71" s="475"/>
      <c r="K71" s="580"/>
      <c r="L71" s="475"/>
      <c r="M71" s="581"/>
      <c r="N71" s="475">
        <v>14.138235999999999</v>
      </c>
      <c r="O71" s="582">
        <v>19.793530000000001</v>
      </c>
      <c r="P71" s="475">
        <f t="shared" si="3"/>
        <v>33.931765999999996</v>
      </c>
      <c r="Q71" s="475"/>
      <c r="S71" s="583"/>
    </row>
    <row r="72" spans="2:19">
      <c r="B72" s="598" t="s">
        <v>1529</v>
      </c>
      <c r="C72" s="475"/>
      <c r="D72" s="587">
        <v>181.90305000000001</v>
      </c>
      <c r="E72" s="475"/>
      <c r="F72" s="587">
        <v>84.630550809999988</v>
      </c>
      <c r="G72" s="594"/>
      <c r="H72" s="587">
        <v>0</v>
      </c>
      <c r="I72" s="578"/>
      <c r="J72" s="475"/>
      <c r="K72" s="580"/>
      <c r="L72" s="475"/>
      <c r="M72" s="581"/>
      <c r="N72" s="475">
        <v>0</v>
      </c>
      <c r="O72" s="582">
        <v>0</v>
      </c>
      <c r="P72" s="475">
        <f t="shared" si="3"/>
        <v>0</v>
      </c>
      <c r="Q72" s="475"/>
      <c r="S72" s="583"/>
    </row>
    <row r="73" spans="2:19">
      <c r="B73" s="600" t="s">
        <v>528</v>
      </c>
      <c r="C73" s="475"/>
      <c r="D73" s="601">
        <f>SUM(D59:D72)</f>
        <v>2860.5999473994998</v>
      </c>
      <c r="E73" s="475">
        <f t="shared" ref="E73:F73" si="4">SUM(E59:E72)</f>
        <v>0</v>
      </c>
      <c r="F73" s="601">
        <f t="shared" si="4"/>
        <v>1850.0797791699997</v>
      </c>
      <c r="G73" s="475"/>
      <c r="H73" s="601">
        <f>SUM(H59:H72)</f>
        <v>2828.9869692360003</v>
      </c>
      <c r="I73" s="578"/>
      <c r="J73" s="601">
        <f>SUM(J59:J72)</f>
        <v>3418.5536310000002</v>
      </c>
      <c r="K73" s="580"/>
      <c r="L73" s="601">
        <f t="shared" ref="L73" si="5">SUM(L59:L72)</f>
        <v>3864.7526249999992</v>
      </c>
      <c r="M73" s="581"/>
      <c r="N73" s="575">
        <f>SUM(N59:N72)</f>
        <v>1824.9160469999999</v>
      </c>
      <c r="O73" s="586">
        <f>SUM(O59:O72)</f>
        <v>2864.1871464738174</v>
      </c>
      <c r="P73" s="575">
        <f>SUM(P59:P72)</f>
        <v>4689.1031934738176</v>
      </c>
      <c r="Q73" s="475"/>
      <c r="S73" s="583"/>
    </row>
    <row r="74" spans="2:19">
      <c r="B74" s="200"/>
      <c r="C74" s="475"/>
      <c r="D74" s="587"/>
      <c r="E74" s="475"/>
      <c r="F74" s="587"/>
      <c r="G74" s="475"/>
      <c r="H74" s="475"/>
      <c r="I74" s="475"/>
      <c r="J74" s="475"/>
      <c r="K74" s="475"/>
      <c r="L74" s="475"/>
      <c r="M74" s="475"/>
      <c r="N74" s="475"/>
      <c r="O74" s="475"/>
      <c r="P74" s="475"/>
      <c r="Q74" s="475"/>
      <c r="S74" s="583"/>
    </row>
    <row r="75" spans="2:19">
      <c r="B75" s="200" t="s">
        <v>281</v>
      </c>
      <c r="C75" s="475"/>
      <c r="D75" s="601">
        <f>D73+D56</f>
        <v>150261.00234710143</v>
      </c>
      <c r="E75" s="475">
        <f t="shared" ref="E75:F75" si="6">E73+E56</f>
        <v>0</v>
      </c>
      <c r="F75" s="601">
        <f t="shared" si="6"/>
        <v>161917.76952858016</v>
      </c>
      <c r="G75" s="475"/>
      <c r="H75" s="601">
        <f>H73+H56</f>
        <v>162931.42961838431</v>
      </c>
      <c r="I75" s="475"/>
      <c r="J75" s="601">
        <f>J73+J56</f>
        <v>176198.32613299997</v>
      </c>
      <c r="K75" s="587"/>
      <c r="L75" s="601">
        <f>L73+L56</f>
        <v>191831.33710355198</v>
      </c>
      <c r="M75" s="475"/>
      <c r="N75" s="575">
        <f>N73+N56</f>
        <v>79593.655923000013</v>
      </c>
      <c r="O75" s="575">
        <f>O73+O56</f>
        <v>128795.62331825457</v>
      </c>
      <c r="P75" s="586">
        <f>P73+P56</f>
        <v>208389.27924125458</v>
      </c>
      <c r="Q75" s="475"/>
    </row>
    <row r="76" spans="2:19">
      <c r="B76" s="200"/>
      <c r="C76" s="475"/>
      <c r="D76" s="475"/>
      <c r="E76" s="475"/>
      <c r="F76" s="475"/>
      <c r="G76" s="475"/>
      <c r="H76" s="475"/>
      <c r="I76" s="475"/>
      <c r="J76" s="475"/>
      <c r="K76" s="475"/>
      <c r="L76" s="475"/>
      <c r="M76" s="475"/>
      <c r="N76" s="475"/>
      <c r="O76" s="475"/>
      <c r="P76" s="475"/>
      <c r="Q76" s="475"/>
    </row>
    <row r="77" spans="2:19">
      <c r="B77" s="243" t="s">
        <v>538</v>
      </c>
      <c r="C77" s="243"/>
      <c r="D77" s="602">
        <v>3.1699999999999999E-2</v>
      </c>
      <c r="E77" s="243"/>
      <c r="F77" s="602">
        <v>2.9399999999999999E-2</v>
      </c>
      <c r="G77" s="243"/>
      <c r="H77" s="602">
        <v>3.1899999999999998E-2</v>
      </c>
      <c r="J77" s="603">
        <v>3.2599999999999997E-2</v>
      </c>
      <c r="L77" s="603">
        <v>3.27E-2</v>
      </c>
      <c r="N77" s="603">
        <v>3.3000000000000002E-2</v>
      </c>
    </row>
    <row r="79" spans="2:19">
      <c r="B79" s="231"/>
      <c r="C79" s="231"/>
      <c r="D79" s="231"/>
      <c r="E79" s="231"/>
      <c r="F79" s="231"/>
      <c r="G79" s="231"/>
      <c r="H79" s="231"/>
      <c r="I79" s="604"/>
      <c r="J79" s="231"/>
      <c r="Q79" s="232"/>
    </row>
    <row r="80" spans="2:19">
      <c r="B80" s="1052" t="s">
        <v>57</v>
      </c>
      <c r="C80" s="963" t="s">
        <v>113</v>
      </c>
      <c r="D80" s="964"/>
      <c r="E80" s="963" t="s">
        <v>114</v>
      </c>
      <c r="F80" s="964"/>
      <c r="G80" s="963" t="s">
        <v>115</v>
      </c>
      <c r="H80" s="964"/>
      <c r="I80" s="963" t="s">
        <v>58</v>
      </c>
      <c r="J80" s="964"/>
      <c r="K80" s="963" t="s">
        <v>59</v>
      </c>
      <c r="L80" s="964"/>
      <c r="M80" s="963" t="s">
        <v>60</v>
      </c>
      <c r="N80" s="964"/>
      <c r="O80" s="964"/>
      <c r="P80" s="964"/>
      <c r="Q80" s="1050" t="s">
        <v>62</v>
      </c>
    </row>
    <row r="81" spans="2:17" ht="28.5">
      <c r="B81" s="1052"/>
      <c r="C81" s="570" t="s">
        <v>63</v>
      </c>
      <c r="D81" s="570" t="s">
        <v>1530</v>
      </c>
      <c r="E81" s="570" t="s">
        <v>63</v>
      </c>
      <c r="F81" s="570" t="s">
        <v>1531</v>
      </c>
      <c r="G81" s="570" t="s">
        <v>63</v>
      </c>
      <c r="H81" s="570" t="s">
        <v>1532</v>
      </c>
      <c r="I81" s="570" t="s">
        <v>63</v>
      </c>
      <c r="J81" s="570" t="s">
        <v>1531</v>
      </c>
      <c r="K81" s="570" t="s">
        <v>63</v>
      </c>
      <c r="L81" s="570" t="s">
        <v>64</v>
      </c>
      <c r="M81" s="570" t="s">
        <v>63</v>
      </c>
      <c r="N81" s="570" t="s">
        <v>1511</v>
      </c>
      <c r="O81" s="570" t="s">
        <v>67</v>
      </c>
      <c r="P81" s="570" t="s">
        <v>68</v>
      </c>
      <c r="Q81" s="1050"/>
    </row>
    <row r="82" spans="2:17">
      <c r="B82" s="1053"/>
      <c r="C82" s="570" t="s">
        <v>75</v>
      </c>
      <c r="D82" s="570" t="s">
        <v>76</v>
      </c>
      <c r="E82" s="570" t="s">
        <v>75</v>
      </c>
      <c r="F82" s="570" t="s">
        <v>76</v>
      </c>
      <c r="G82" s="570" t="s">
        <v>75</v>
      </c>
      <c r="H82" s="570" t="s">
        <v>76</v>
      </c>
      <c r="I82" s="570" t="s">
        <v>75</v>
      </c>
      <c r="J82" s="570" t="s">
        <v>76</v>
      </c>
      <c r="K82" s="570" t="s">
        <v>116</v>
      </c>
      <c r="L82" s="570" t="s">
        <v>78</v>
      </c>
      <c r="M82" s="570" t="s">
        <v>79</v>
      </c>
      <c r="N82" s="570" t="s">
        <v>319</v>
      </c>
      <c r="O82" s="570" t="s">
        <v>522</v>
      </c>
      <c r="P82" s="570" t="s">
        <v>523</v>
      </c>
      <c r="Q82" s="1051"/>
    </row>
    <row r="83" spans="2:17" ht="30">
      <c r="B83" s="455" t="s">
        <v>539</v>
      </c>
      <c r="C83" s="475"/>
      <c r="D83" s="587">
        <v>4913.0021460395947</v>
      </c>
      <c r="E83" s="475"/>
      <c r="F83" s="587">
        <v>4458.0206523640663</v>
      </c>
      <c r="G83" s="475"/>
      <c r="H83" s="587">
        <v>5375.5743816156755</v>
      </c>
      <c r="I83" s="475"/>
      <c r="J83" s="475">
        <v>5934.6512800000019</v>
      </c>
      <c r="K83" s="475"/>
      <c r="L83" s="475">
        <v>6489.8543694479904</v>
      </c>
      <c r="M83" s="475"/>
      <c r="N83" s="475">
        <v>2791.9435529999982</v>
      </c>
      <c r="O83" s="475">
        <v>3908.7209739999998</v>
      </c>
      <c r="P83" s="475">
        <v>6700.6645269999999</v>
      </c>
      <c r="Q83" s="475"/>
    </row>
    <row r="84" spans="2:17">
      <c r="B84" s="455" t="s">
        <v>540</v>
      </c>
      <c r="C84" s="475"/>
      <c r="D84" s="605">
        <v>3.1699999999999999E-2</v>
      </c>
      <c r="E84" s="475"/>
      <c r="F84" s="605">
        <v>2.9399999999999999E-2</v>
      </c>
      <c r="G84" s="475"/>
      <c r="H84" s="605">
        <v>3.1899999999999998E-2</v>
      </c>
      <c r="I84" s="475"/>
      <c r="J84" s="605">
        <v>3.2599999999999997E-2</v>
      </c>
      <c r="K84" s="475"/>
      <c r="L84" s="605">
        <v>3.27E-2</v>
      </c>
      <c r="M84" s="475"/>
      <c r="N84" s="605">
        <v>3.3000000000000002E-2</v>
      </c>
      <c r="O84" s="475"/>
      <c r="P84" s="475"/>
      <c r="Q84" s="475"/>
    </row>
    <row r="86" spans="2:17">
      <c r="B86" s="115" t="s">
        <v>537</v>
      </c>
      <c r="C86" s="115"/>
      <c r="D86" s="115"/>
      <c r="E86" s="115"/>
      <c r="F86" s="115"/>
      <c r="G86" s="115"/>
      <c r="H86" s="115"/>
    </row>
  </sheetData>
  <mergeCells count="30">
    <mergeCell ref="K48:L48"/>
    <mergeCell ref="M48:P48"/>
    <mergeCell ref="Q48:Q50"/>
    <mergeCell ref="B80:B82"/>
    <mergeCell ref="C80:D80"/>
    <mergeCell ref="E80:F80"/>
    <mergeCell ref="G80:H80"/>
    <mergeCell ref="I80:J80"/>
    <mergeCell ref="K80:L80"/>
    <mergeCell ref="M80:P80"/>
    <mergeCell ref="Q80:Q82"/>
    <mergeCell ref="B48:B50"/>
    <mergeCell ref="C48:D48"/>
    <mergeCell ref="E48:F48"/>
    <mergeCell ref="G48:H48"/>
    <mergeCell ref="I48:J48"/>
    <mergeCell ref="K9:K11"/>
    <mergeCell ref="B40:B42"/>
    <mergeCell ref="C40:D40"/>
    <mergeCell ref="E40:F40"/>
    <mergeCell ref="G40:J40"/>
    <mergeCell ref="B9:B11"/>
    <mergeCell ref="C9:D9"/>
    <mergeCell ref="E9:F9"/>
    <mergeCell ref="G9:J9"/>
    <mergeCell ref="K40:K42"/>
    <mergeCell ref="I12:I31"/>
    <mergeCell ref="J12:J31"/>
    <mergeCell ref="E12:E31"/>
    <mergeCell ref="G12:G31"/>
  </mergeCells>
  <pageMargins left="0.75" right="0.75" top="1" bottom="1" header="0.5" footer="0.5"/>
  <pageSetup paperSize="9" scale="47" orientation="landscape" r:id="rId1"/>
  <headerFooter alignWithMargins="0">
    <oddHeader>&amp;L&amp;"Arial,Italic"Draft- Dated 2 August 2004</oddHeader>
  </headerFooter>
</worksheet>
</file>

<file path=xl/worksheets/sheet29.xml><?xml version="1.0" encoding="utf-8"?>
<worksheet xmlns="http://schemas.openxmlformats.org/spreadsheetml/2006/main" xmlns:r="http://schemas.openxmlformats.org/officeDocument/2006/relationships">
  <dimension ref="A2:AJ329"/>
  <sheetViews>
    <sheetView view="pageBreakPreview" zoomScale="70" zoomScaleNormal="64" zoomScaleSheetLayoutView="70" workbookViewId="0">
      <selection activeCell="AG41" sqref="AG41"/>
    </sheetView>
  </sheetViews>
  <sheetFormatPr defaultColWidth="9.28515625" defaultRowHeight="12.75"/>
  <cols>
    <col min="1" max="1" width="14.7109375" style="244" customWidth="1"/>
    <col min="2" max="2" width="32.7109375" style="264" bestFit="1" customWidth="1"/>
    <col min="3" max="3" width="21.7109375" style="244" customWidth="1"/>
    <col min="4" max="4" width="19.7109375" style="244" customWidth="1"/>
    <col min="5" max="10" width="19" style="244" customWidth="1"/>
    <col min="11" max="19" width="22.28515625" style="244" customWidth="1"/>
    <col min="20" max="20" width="23.42578125" style="244" customWidth="1"/>
    <col min="21" max="33" width="22.28515625" style="244" customWidth="1"/>
    <col min="34" max="34" width="9.28515625" style="244"/>
    <col min="35" max="35" width="25.7109375" style="244" customWidth="1"/>
    <col min="36" max="36" width="22.28515625" style="244" customWidth="1"/>
    <col min="37" max="16384" width="9.28515625" style="244"/>
  </cols>
  <sheetData>
    <row r="2" spans="1:33" ht="14.25">
      <c r="A2" s="1062" t="s">
        <v>0</v>
      </c>
      <c r="B2" s="1063"/>
      <c r="C2" s="1063"/>
      <c r="D2" s="1063"/>
      <c r="E2" s="1063"/>
      <c r="F2" s="1063"/>
      <c r="G2" s="1063"/>
      <c r="H2" s="1063"/>
      <c r="I2" s="1063"/>
      <c r="J2" s="1063"/>
      <c r="K2" s="1063"/>
      <c r="L2" s="1063"/>
      <c r="M2" s="1063"/>
      <c r="N2" s="1063"/>
      <c r="O2" s="1063"/>
      <c r="P2" s="1063"/>
      <c r="Q2" s="1063"/>
      <c r="R2" s="1063"/>
      <c r="S2" s="1063"/>
      <c r="T2" s="1063"/>
      <c r="U2" s="1063"/>
      <c r="V2" s="1063"/>
      <c r="W2" s="1063"/>
      <c r="X2" s="1063"/>
      <c r="Y2" s="1063"/>
    </row>
    <row r="3" spans="1:33" ht="14.25">
      <c r="A3" s="1062" t="s">
        <v>1</v>
      </c>
      <c r="B3" s="1063"/>
      <c r="C3" s="1063"/>
      <c r="D3" s="1063"/>
      <c r="E3" s="1063"/>
      <c r="F3" s="1063"/>
      <c r="G3" s="1063"/>
      <c r="H3" s="1063"/>
      <c r="I3" s="1063"/>
      <c r="J3" s="1063"/>
      <c r="K3" s="1063"/>
      <c r="L3" s="1063"/>
      <c r="M3" s="1063"/>
      <c r="N3" s="1063"/>
      <c r="O3" s="1063"/>
      <c r="P3" s="1063"/>
      <c r="Q3" s="1063"/>
      <c r="R3" s="1063"/>
      <c r="S3" s="1063"/>
      <c r="T3" s="1063"/>
      <c r="U3" s="1063"/>
      <c r="V3" s="1063"/>
      <c r="W3" s="1063"/>
      <c r="X3" s="1063"/>
      <c r="Y3" s="1063"/>
    </row>
    <row r="4" spans="1:33" ht="14.25">
      <c r="A4" s="1064" t="s">
        <v>541</v>
      </c>
      <c r="B4" s="1065"/>
      <c r="C4" s="1065"/>
      <c r="D4" s="1065"/>
      <c r="E4" s="1065"/>
      <c r="F4" s="1065"/>
      <c r="G4" s="1065"/>
      <c r="H4" s="1065"/>
      <c r="I4" s="1065"/>
      <c r="J4" s="1065"/>
      <c r="K4" s="1065"/>
      <c r="L4" s="1065"/>
      <c r="M4" s="1065"/>
      <c r="N4" s="1065"/>
      <c r="O4" s="1065"/>
      <c r="P4" s="1065"/>
      <c r="Q4" s="1065"/>
      <c r="R4" s="1065"/>
      <c r="S4" s="1065"/>
      <c r="T4" s="1065"/>
      <c r="U4" s="1065"/>
      <c r="V4" s="1065"/>
      <c r="W4" s="1065"/>
      <c r="X4" s="1065"/>
      <c r="Y4" s="1065"/>
    </row>
    <row r="5" spans="1:33">
      <c r="B5" s="245" t="s">
        <v>542</v>
      </c>
      <c r="K5" s="283" t="s">
        <v>56</v>
      </c>
    </row>
    <row r="6" spans="1:33" ht="25.5">
      <c r="A6" s="246"/>
      <c r="B6" s="1066" t="s">
        <v>543</v>
      </c>
      <c r="C6" s="1057" t="s">
        <v>544</v>
      </c>
      <c r="D6" s="1057" t="s">
        <v>545</v>
      </c>
      <c r="E6" s="1057" t="s">
        <v>546</v>
      </c>
      <c r="F6" s="1054" t="s">
        <v>547</v>
      </c>
      <c r="G6" s="1055"/>
      <c r="H6" s="1055"/>
      <c r="I6" s="1055"/>
      <c r="J6" s="1055"/>
      <c r="K6" s="1055"/>
      <c r="L6" s="1055"/>
      <c r="M6" s="1055"/>
      <c r="N6" s="1055"/>
      <c r="O6" s="1055"/>
      <c r="P6" s="1055"/>
      <c r="Q6" s="1055"/>
      <c r="R6" s="1055"/>
      <c r="S6" s="1055"/>
      <c r="T6" s="1055"/>
      <c r="U6" s="1055"/>
      <c r="V6" s="1055"/>
      <c r="W6" s="1055"/>
      <c r="X6" s="1055"/>
      <c r="Y6" s="1055"/>
      <c r="Z6" s="1055"/>
      <c r="AA6" s="1055"/>
      <c r="AB6" s="1055"/>
      <c r="AC6" s="1055"/>
      <c r="AD6" s="1056"/>
      <c r="AE6" s="284" t="s">
        <v>548</v>
      </c>
      <c r="AF6" s="284" t="s">
        <v>549</v>
      </c>
      <c r="AG6" s="284" t="s">
        <v>550</v>
      </c>
    </row>
    <row r="7" spans="1:33">
      <c r="A7" s="246"/>
      <c r="B7" s="1067"/>
      <c r="C7" s="1058"/>
      <c r="D7" s="1058"/>
      <c r="E7" s="1058"/>
      <c r="F7" s="249" t="s">
        <v>551</v>
      </c>
      <c r="G7" s="249" t="s">
        <v>552</v>
      </c>
      <c r="H7" s="249" t="s">
        <v>553</v>
      </c>
      <c r="I7" s="249" t="s">
        <v>554</v>
      </c>
      <c r="J7" s="249" t="s">
        <v>555</v>
      </c>
      <c r="K7" s="249" t="s">
        <v>556</v>
      </c>
      <c r="L7" s="249" t="s">
        <v>557</v>
      </c>
      <c r="M7" s="249" t="s">
        <v>558</v>
      </c>
      <c r="N7" s="249" t="s">
        <v>559</v>
      </c>
      <c r="O7" s="249" t="s">
        <v>560</v>
      </c>
      <c r="P7" s="249" t="s">
        <v>561</v>
      </c>
      <c r="Q7" s="249" t="s">
        <v>562</v>
      </c>
      <c r="R7" s="249" t="s">
        <v>563</v>
      </c>
      <c r="S7" s="249" t="s">
        <v>564</v>
      </c>
      <c r="T7" s="249" t="s">
        <v>565</v>
      </c>
      <c r="U7" s="249" t="s">
        <v>566</v>
      </c>
      <c r="V7" s="249" t="s">
        <v>567</v>
      </c>
      <c r="W7" s="249" t="s">
        <v>568</v>
      </c>
      <c r="X7" s="249" t="s">
        <v>569</v>
      </c>
      <c r="Y7" s="249" t="s">
        <v>60</v>
      </c>
      <c r="Z7" s="249" t="s">
        <v>70</v>
      </c>
      <c r="AA7" s="249" t="s">
        <v>71</v>
      </c>
      <c r="AB7" s="249" t="s">
        <v>72</v>
      </c>
      <c r="AC7" s="249" t="s">
        <v>73</v>
      </c>
      <c r="AD7" s="249" t="s">
        <v>74</v>
      </c>
      <c r="AE7" s="284"/>
      <c r="AF7" s="284"/>
      <c r="AG7" s="284"/>
    </row>
    <row r="8" spans="1:33">
      <c r="A8" s="250" t="s">
        <v>570</v>
      </c>
      <c r="B8" s="251">
        <v>2005</v>
      </c>
      <c r="C8" s="252"/>
      <c r="D8" s="253"/>
      <c r="E8" s="253"/>
      <c r="F8" s="253"/>
      <c r="G8" s="253"/>
      <c r="H8" s="253"/>
      <c r="I8" s="253"/>
      <c r="J8" s="253"/>
      <c r="K8" s="285"/>
      <c r="L8" s="285"/>
      <c r="M8" s="285"/>
      <c r="N8" s="285"/>
      <c r="O8" s="285"/>
      <c r="P8" s="285"/>
      <c r="Q8" s="285"/>
      <c r="R8" s="285"/>
      <c r="S8" s="285"/>
      <c r="T8" s="285"/>
      <c r="U8" s="285"/>
      <c r="V8" s="285"/>
      <c r="W8" s="285"/>
      <c r="X8" s="285"/>
      <c r="Y8" s="285"/>
      <c r="Z8" s="285"/>
      <c r="AA8" s="285"/>
      <c r="AB8" s="285"/>
      <c r="AC8" s="285"/>
      <c r="AD8" s="285"/>
      <c r="AE8" s="253"/>
      <c r="AF8" s="253"/>
      <c r="AG8" s="253"/>
    </row>
    <row r="9" spans="1:33">
      <c r="A9" s="250" t="s">
        <v>571</v>
      </c>
      <c r="B9" s="251" t="s">
        <v>551</v>
      </c>
      <c r="C9" s="252"/>
      <c r="D9" s="253"/>
      <c r="E9" s="253"/>
      <c r="F9" s="254"/>
      <c r="G9" s="285"/>
      <c r="H9" s="285"/>
      <c r="I9" s="285"/>
      <c r="J9" s="285"/>
      <c r="K9" s="285"/>
      <c r="L9" s="285"/>
      <c r="M9" s="285"/>
      <c r="N9" s="285"/>
      <c r="O9" s="285"/>
      <c r="P9" s="285"/>
      <c r="Q9" s="285"/>
      <c r="R9" s="285"/>
      <c r="S9" s="285"/>
      <c r="T9" s="285"/>
      <c r="U9" s="285"/>
      <c r="V9" s="285"/>
      <c r="W9" s="285"/>
      <c r="X9" s="285"/>
      <c r="Y9" s="285"/>
      <c r="Z9" s="285"/>
      <c r="AA9" s="285"/>
      <c r="AB9" s="285"/>
      <c r="AC9" s="285"/>
      <c r="AD9" s="285"/>
      <c r="AE9" s="253"/>
      <c r="AF9" s="253"/>
      <c r="AG9" s="253"/>
    </row>
    <row r="10" spans="1:33">
      <c r="A10" s="250" t="s">
        <v>571</v>
      </c>
      <c r="B10" s="251" t="s">
        <v>552</v>
      </c>
      <c r="C10" s="252"/>
      <c r="D10" s="253"/>
      <c r="E10" s="253"/>
      <c r="F10" s="286"/>
      <c r="G10" s="254"/>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53"/>
      <c r="AF10" s="253"/>
      <c r="AG10" s="253"/>
    </row>
    <row r="11" spans="1:33">
      <c r="A11" s="250" t="s">
        <v>571</v>
      </c>
      <c r="B11" s="251" t="s">
        <v>553</v>
      </c>
      <c r="C11" s="252"/>
      <c r="D11" s="253"/>
      <c r="E11" s="253"/>
      <c r="F11" s="286"/>
      <c r="G11" s="286"/>
      <c r="H11" s="254"/>
      <c r="I11" s="285"/>
      <c r="J11" s="285"/>
      <c r="K11" s="285"/>
      <c r="L11" s="285"/>
      <c r="M11" s="285"/>
      <c r="N11" s="285"/>
      <c r="O11" s="285"/>
      <c r="P11" s="285"/>
      <c r="Q11" s="285"/>
      <c r="R11" s="285"/>
      <c r="S11" s="285"/>
      <c r="T11" s="285"/>
      <c r="U11" s="285"/>
      <c r="V11" s="285"/>
      <c r="W11" s="285"/>
      <c r="X11" s="285"/>
      <c r="Y11" s="285"/>
      <c r="Z11" s="285"/>
      <c r="AA11" s="285"/>
      <c r="AB11" s="285"/>
      <c r="AC11" s="285"/>
      <c r="AD11" s="285"/>
      <c r="AE11" s="253"/>
      <c r="AF11" s="253"/>
      <c r="AG11" s="253"/>
    </row>
    <row r="12" spans="1:33">
      <c r="A12" s="250" t="s">
        <v>571</v>
      </c>
      <c r="B12" s="251" t="s">
        <v>554</v>
      </c>
      <c r="C12" s="252"/>
      <c r="D12" s="253"/>
      <c r="E12" s="253"/>
      <c r="F12" s="286"/>
      <c r="G12" s="286"/>
      <c r="H12" s="286"/>
      <c r="I12" s="254"/>
      <c r="J12" s="285"/>
      <c r="K12" s="285"/>
      <c r="L12" s="285"/>
      <c r="M12" s="285"/>
      <c r="N12" s="285"/>
      <c r="O12" s="285"/>
      <c r="P12" s="285"/>
      <c r="Q12" s="285"/>
      <c r="R12" s="285"/>
      <c r="S12" s="285"/>
      <c r="T12" s="285"/>
      <c r="U12" s="285"/>
      <c r="V12" s="285"/>
      <c r="W12" s="285"/>
      <c r="X12" s="285"/>
      <c r="Y12" s="285"/>
      <c r="Z12" s="285"/>
      <c r="AA12" s="285"/>
      <c r="AB12" s="285"/>
      <c r="AC12" s="285"/>
      <c r="AD12" s="285"/>
      <c r="AE12" s="253"/>
      <c r="AF12" s="253"/>
      <c r="AG12" s="253"/>
    </row>
    <row r="13" spans="1:33">
      <c r="A13" s="250" t="s">
        <v>571</v>
      </c>
      <c r="B13" s="251" t="s">
        <v>555</v>
      </c>
      <c r="C13" s="252"/>
      <c r="D13" s="253"/>
      <c r="E13" s="253"/>
      <c r="F13" s="286"/>
      <c r="G13" s="286"/>
      <c r="H13" s="286"/>
      <c r="I13" s="286"/>
      <c r="J13" s="254"/>
      <c r="K13" s="285"/>
      <c r="L13" s="285"/>
      <c r="M13" s="285"/>
      <c r="N13" s="285"/>
      <c r="O13" s="285"/>
      <c r="P13" s="285"/>
      <c r="Q13" s="285"/>
      <c r="R13" s="285"/>
      <c r="S13" s="285"/>
      <c r="T13" s="285"/>
      <c r="U13" s="285"/>
      <c r="V13" s="285"/>
      <c r="W13" s="285"/>
      <c r="X13" s="285"/>
      <c r="Y13" s="285"/>
      <c r="Z13" s="285"/>
      <c r="AA13" s="285"/>
      <c r="AB13" s="285"/>
      <c r="AC13" s="285"/>
      <c r="AD13" s="285"/>
      <c r="AE13" s="253"/>
      <c r="AF13" s="253"/>
      <c r="AG13" s="253"/>
    </row>
    <row r="14" spans="1:33">
      <c r="A14" s="250" t="s">
        <v>571</v>
      </c>
      <c r="B14" s="251" t="s">
        <v>556</v>
      </c>
      <c r="C14" s="250"/>
      <c r="D14" s="253"/>
      <c r="E14" s="253"/>
      <c r="F14" s="286"/>
      <c r="G14" s="286"/>
      <c r="H14" s="286"/>
      <c r="I14" s="286"/>
      <c r="J14" s="286"/>
      <c r="K14" s="254"/>
      <c r="L14" s="285"/>
      <c r="M14" s="285"/>
      <c r="N14" s="285"/>
      <c r="O14" s="285"/>
      <c r="P14" s="285"/>
      <c r="Q14" s="285"/>
      <c r="R14" s="285"/>
      <c r="S14" s="285"/>
      <c r="T14" s="285"/>
      <c r="U14" s="285"/>
      <c r="V14" s="285"/>
      <c r="W14" s="285"/>
      <c r="X14" s="285"/>
      <c r="Y14" s="285"/>
      <c r="Z14" s="285"/>
      <c r="AA14" s="285"/>
      <c r="AB14" s="285"/>
      <c r="AC14" s="285"/>
      <c r="AD14" s="285"/>
      <c r="AE14" s="253"/>
      <c r="AF14" s="253"/>
      <c r="AG14" s="253"/>
    </row>
    <row r="15" spans="1:33">
      <c r="A15" s="250" t="s">
        <v>571</v>
      </c>
      <c r="B15" s="251" t="s">
        <v>557</v>
      </c>
      <c r="C15" s="250"/>
      <c r="D15" s="253"/>
      <c r="E15" s="253"/>
      <c r="F15" s="286"/>
      <c r="G15" s="286"/>
      <c r="H15" s="286"/>
      <c r="I15" s="286"/>
      <c r="J15" s="286"/>
      <c r="K15" s="286"/>
      <c r="L15" s="254"/>
      <c r="M15" s="285"/>
      <c r="N15" s="285"/>
      <c r="O15" s="285"/>
      <c r="P15" s="285"/>
      <c r="Q15" s="285"/>
      <c r="R15" s="285"/>
      <c r="S15" s="285"/>
      <c r="T15" s="285"/>
      <c r="U15" s="285"/>
      <c r="V15" s="285"/>
      <c r="W15" s="285"/>
      <c r="X15" s="285"/>
      <c r="Y15" s="285"/>
      <c r="Z15" s="285"/>
      <c r="AA15" s="285"/>
      <c r="AB15" s="285"/>
      <c r="AC15" s="285"/>
      <c r="AD15" s="285"/>
      <c r="AE15" s="253"/>
      <c r="AF15" s="253"/>
      <c r="AG15" s="253"/>
    </row>
    <row r="16" spans="1:33">
      <c r="A16" s="250" t="s">
        <v>571</v>
      </c>
      <c r="B16" s="251" t="s">
        <v>558</v>
      </c>
      <c r="C16" s="250"/>
      <c r="D16" s="253"/>
      <c r="E16" s="253"/>
      <c r="F16" s="286"/>
      <c r="G16" s="286"/>
      <c r="H16" s="286"/>
      <c r="I16" s="286"/>
      <c r="J16" s="286"/>
      <c r="K16" s="286"/>
      <c r="L16" s="286"/>
      <c r="M16" s="254"/>
      <c r="N16" s="285"/>
      <c r="O16" s="285"/>
      <c r="P16" s="285"/>
      <c r="Q16" s="285"/>
      <c r="R16" s="285"/>
      <c r="S16" s="285"/>
      <c r="T16" s="285"/>
      <c r="U16" s="285"/>
      <c r="V16" s="285"/>
      <c r="W16" s="285"/>
      <c r="X16" s="285"/>
      <c r="Y16" s="285"/>
      <c r="Z16" s="285"/>
      <c r="AA16" s="285"/>
      <c r="AB16" s="285"/>
      <c r="AC16" s="285"/>
      <c r="AD16" s="285"/>
      <c r="AE16" s="253"/>
      <c r="AF16" s="253"/>
      <c r="AG16" s="253"/>
    </row>
    <row r="17" spans="1:33">
      <c r="A17" s="250" t="s">
        <v>571</v>
      </c>
      <c r="B17" s="251" t="s">
        <v>559</v>
      </c>
      <c r="C17" s="250"/>
      <c r="D17" s="253"/>
      <c r="E17" s="253"/>
      <c r="F17" s="286"/>
      <c r="G17" s="286"/>
      <c r="H17" s="286"/>
      <c r="I17" s="286"/>
      <c r="J17" s="286"/>
      <c r="K17" s="286"/>
      <c r="L17" s="286"/>
      <c r="M17" s="286"/>
      <c r="N17" s="254"/>
      <c r="O17" s="285"/>
      <c r="P17" s="285"/>
      <c r="Q17" s="285"/>
      <c r="R17" s="285"/>
      <c r="S17" s="285"/>
      <c r="T17" s="285"/>
      <c r="U17" s="285"/>
      <c r="V17" s="285"/>
      <c r="W17" s="285"/>
      <c r="X17" s="285"/>
      <c r="Y17" s="285"/>
      <c r="Z17" s="285"/>
      <c r="AA17" s="285"/>
      <c r="AB17" s="285"/>
      <c r="AC17" s="285"/>
      <c r="AD17" s="285"/>
      <c r="AE17" s="253"/>
      <c r="AF17" s="253"/>
      <c r="AG17" s="253"/>
    </row>
    <row r="18" spans="1:33">
      <c r="A18" s="250" t="s">
        <v>571</v>
      </c>
      <c r="B18" s="251" t="s">
        <v>560</v>
      </c>
      <c r="C18" s="250"/>
      <c r="D18" s="253"/>
      <c r="E18" s="253"/>
      <c r="F18" s="286"/>
      <c r="G18" s="286"/>
      <c r="H18" s="286"/>
      <c r="I18" s="286"/>
      <c r="J18" s="286"/>
      <c r="K18" s="286"/>
      <c r="L18" s="286"/>
      <c r="M18" s="286"/>
      <c r="N18" s="286"/>
      <c r="O18" s="254"/>
      <c r="P18" s="285"/>
      <c r="Q18" s="285"/>
      <c r="R18" s="285"/>
      <c r="S18" s="285"/>
      <c r="T18" s="285"/>
      <c r="U18" s="285"/>
      <c r="V18" s="285"/>
      <c r="W18" s="285"/>
      <c r="X18" s="285"/>
      <c r="Y18" s="285"/>
      <c r="Z18" s="285"/>
      <c r="AA18" s="285"/>
      <c r="AB18" s="285"/>
      <c r="AC18" s="285"/>
      <c r="AD18" s="285"/>
      <c r="AE18" s="253"/>
      <c r="AF18" s="253"/>
      <c r="AG18" s="253"/>
    </row>
    <row r="19" spans="1:33">
      <c r="A19" s="250" t="s">
        <v>571</v>
      </c>
      <c r="B19" s="251" t="s">
        <v>561</v>
      </c>
      <c r="C19" s="250"/>
      <c r="D19" s="253"/>
      <c r="E19" s="253"/>
      <c r="F19" s="286"/>
      <c r="G19" s="286"/>
      <c r="H19" s="286"/>
      <c r="I19" s="286"/>
      <c r="J19" s="286"/>
      <c r="K19" s="286"/>
      <c r="L19" s="286"/>
      <c r="M19" s="286"/>
      <c r="N19" s="286"/>
      <c r="O19" s="286"/>
      <c r="P19" s="254"/>
      <c r="Q19" s="285"/>
      <c r="R19" s="285"/>
      <c r="S19" s="285"/>
      <c r="T19" s="285"/>
      <c r="U19" s="285"/>
      <c r="V19" s="285"/>
      <c r="W19" s="285"/>
      <c r="X19" s="285"/>
      <c r="Y19" s="285"/>
      <c r="Z19" s="285"/>
      <c r="AA19" s="285"/>
      <c r="AB19" s="285"/>
      <c r="AC19" s="285"/>
      <c r="AD19" s="285"/>
      <c r="AE19" s="253"/>
      <c r="AF19" s="253"/>
      <c r="AG19" s="253"/>
    </row>
    <row r="20" spans="1:33">
      <c r="A20" s="250" t="s">
        <v>571</v>
      </c>
      <c r="B20" s="251" t="s">
        <v>562</v>
      </c>
      <c r="C20" s="250"/>
      <c r="D20" s="253"/>
      <c r="E20" s="253"/>
      <c r="F20" s="286"/>
      <c r="G20" s="286"/>
      <c r="H20" s="286"/>
      <c r="I20" s="286"/>
      <c r="J20" s="286"/>
      <c r="K20" s="286"/>
      <c r="L20" s="286"/>
      <c r="M20" s="286"/>
      <c r="N20" s="286"/>
      <c r="O20" s="286"/>
      <c r="P20" s="286"/>
      <c r="Q20" s="254"/>
      <c r="R20" s="285"/>
      <c r="S20" s="285"/>
      <c r="T20" s="285"/>
      <c r="U20" s="285"/>
      <c r="V20" s="285"/>
      <c r="W20" s="285"/>
      <c r="X20" s="285"/>
      <c r="Y20" s="285"/>
      <c r="Z20" s="285"/>
      <c r="AA20" s="285"/>
      <c r="AB20" s="285"/>
      <c r="AC20" s="285"/>
      <c r="AD20" s="285"/>
      <c r="AE20" s="253"/>
      <c r="AF20" s="253"/>
      <c r="AG20" s="253"/>
    </row>
    <row r="21" spans="1:33">
      <c r="A21" s="250" t="s">
        <v>571</v>
      </c>
      <c r="B21" s="251" t="s">
        <v>563</v>
      </c>
      <c r="C21" s="250"/>
      <c r="D21" s="253"/>
      <c r="E21" s="253"/>
      <c r="F21" s="286"/>
      <c r="G21" s="286"/>
      <c r="H21" s="286"/>
      <c r="I21" s="286"/>
      <c r="J21" s="286"/>
      <c r="K21" s="286"/>
      <c r="L21" s="286"/>
      <c r="M21" s="286"/>
      <c r="N21" s="286"/>
      <c r="O21" s="286"/>
      <c r="P21" s="286"/>
      <c r="Q21" s="286"/>
      <c r="R21" s="254"/>
      <c r="S21" s="285"/>
      <c r="T21" s="285"/>
      <c r="U21" s="285"/>
      <c r="V21" s="285"/>
      <c r="W21" s="285"/>
      <c r="X21" s="285"/>
      <c r="Y21" s="285"/>
      <c r="Z21" s="285"/>
      <c r="AA21" s="285"/>
      <c r="AB21" s="285"/>
      <c r="AC21" s="285"/>
      <c r="AD21" s="285"/>
      <c r="AE21" s="253"/>
      <c r="AF21" s="253"/>
      <c r="AG21" s="253"/>
    </row>
    <row r="22" spans="1:33">
      <c r="A22" s="250" t="s">
        <v>571</v>
      </c>
      <c r="B22" s="251" t="s">
        <v>564</v>
      </c>
      <c r="C22" s="250"/>
      <c r="D22" s="253"/>
      <c r="E22" s="253"/>
      <c r="F22" s="286"/>
      <c r="G22" s="286"/>
      <c r="H22" s="286"/>
      <c r="I22" s="286"/>
      <c r="J22" s="286"/>
      <c r="K22" s="286"/>
      <c r="L22" s="286"/>
      <c r="M22" s="286"/>
      <c r="N22" s="286"/>
      <c r="O22" s="286"/>
      <c r="P22" s="286"/>
      <c r="Q22" s="286"/>
      <c r="R22" s="286"/>
      <c r="S22" s="254"/>
      <c r="T22" s="285"/>
      <c r="U22" s="285"/>
      <c r="V22" s="285"/>
      <c r="W22" s="285"/>
      <c r="X22" s="285"/>
      <c r="Y22" s="285"/>
      <c r="Z22" s="285"/>
      <c r="AA22" s="285"/>
      <c r="AB22" s="285"/>
      <c r="AC22" s="285"/>
      <c r="AD22" s="285"/>
      <c r="AE22" s="253"/>
      <c r="AF22" s="253"/>
      <c r="AG22" s="253"/>
    </row>
    <row r="23" spans="1:33">
      <c r="A23" s="250" t="s">
        <v>571</v>
      </c>
      <c r="B23" s="251" t="s">
        <v>565</v>
      </c>
      <c r="C23" s="253"/>
      <c r="D23" s="253"/>
      <c r="E23" s="253"/>
      <c r="F23" s="286"/>
      <c r="G23" s="286"/>
      <c r="H23" s="286"/>
      <c r="I23" s="286"/>
      <c r="J23" s="286"/>
      <c r="K23" s="286"/>
      <c r="L23" s="286"/>
      <c r="M23" s="286"/>
      <c r="N23" s="286"/>
      <c r="O23" s="286"/>
      <c r="P23" s="286"/>
      <c r="Q23" s="286"/>
      <c r="R23" s="286"/>
      <c r="S23" s="286"/>
      <c r="T23" s="254"/>
      <c r="U23" s="285"/>
      <c r="V23" s="285"/>
      <c r="W23" s="285"/>
      <c r="X23" s="285"/>
      <c r="Y23" s="285"/>
      <c r="Z23" s="285"/>
      <c r="AA23" s="285"/>
      <c r="AB23" s="285"/>
      <c r="AC23" s="285"/>
      <c r="AD23" s="285"/>
      <c r="AE23" s="253"/>
      <c r="AF23" s="253"/>
      <c r="AG23" s="253"/>
    </row>
    <row r="24" spans="1:33">
      <c r="A24" s="250" t="s">
        <v>571</v>
      </c>
      <c r="B24" s="251" t="s">
        <v>566</v>
      </c>
      <c r="C24" s="253"/>
      <c r="D24" s="253"/>
      <c r="E24" s="253"/>
      <c r="F24" s="286"/>
      <c r="G24" s="286"/>
      <c r="H24" s="286"/>
      <c r="I24" s="286"/>
      <c r="J24" s="286"/>
      <c r="K24" s="286"/>
      <c r="L24" s="286"/>
      <c r="M24" s="286"/>
      <c r="N24" s="286"/>
      <c r="O24" s="286"/>
      <c r="P24" s="286"/>
      <c r="Q24" s="286"/>
      <c r="R24" s="286"/>
      <c r="S24" s="286"/>
      <c r="T24" s="286"/>
      <c r="U24" s="254"/>
      <c r="V24" s="285"/>
      <c r="W24" s="285"/>
      <c r="X24" s="285"/>
      <c r="Y24" s="285"/>
      <c r="Z24" s="285"/>
      <c r="AA24" s="285"/>
      <c r="AB24" s="285"/>
      <c r="AC24" s="285"/>
      <c r="AD24" s="285"/>
      <c r="AE24" s="253"/>
      <c r="AF24" s="253"/>
      <c r="AG24" s="253"/>
    </row>
    <row r="25" spans="1:33">
      <c r="A25" s="250" t="s">
        <v>571</v>
      </c>
      <c r="B25" s="251" t="s">
        <v>567</v>
      </c>
      <c r="C25" s="253"/>
      <c r="D25" s="253"/>
      <c r="E25" s="253"/>
      <c r="F25" s="286"/>
      <c r="G25" s="286"/>
      <c r="H25" s="286"/>
      <c r="I25" s="286"/>
      <c r="J25" s="286"/>
      <c r="K25" s="286"/>
      <c r="L25" s="286"/>
      <c r="M25" s="286"/>
      <c r="N25" s="286"/>
      <c r="O25" s="286"/>
      <c r="P25" s="286"/>
      <c r="Q25" s="286"/>
      <c r="R25" s="286"/>
      <c r="S25" s="286"/>
      <c r="T25" s="286"/>
      <c r="U25" s="286"/>
      <c r="V25" s="254"/>
      <c r="W25" s="285"/>
      <c r="X25" s="285"/>
      <c r="Y25" s="285"/>
      <c r="Z25" s="285"/>
      <c r="AA25" s="285"/>
      <c r="AB25" s="285"/>
      <c r="AC25" s="285"/>
      <c r="AD25" s="285"/>
      <c r="AE25" s="253"/>
      <c r="AF25" s="253"/>
      <c r="AG25" s="253"/>
    </row>
    <row r="26" spans="1:33">
      <c r="A26" s="250" t="s">
        <v>571</v>
      </c>
      <c r="B26" s="251" t="s">
        <v>568</v>
      </c>
      <c r="C26" s="253"/>
      <c r="D26" s="253"/>
      <c r="E26" s="253"/>
      <c r="F26" s="286"/>
      <c r="G26" s="286"/>
      <c r="H26" s="286"/>
      <c r="I26" s="286"/>
      <c r="J26" s="286"/>
      <c r="K26" s="286"/>
      <c r="L26" s="286"/>
      <c r="M26" s="286"/>
      <c r="N26" s="286"/>
      <c r="O26" s="286"/>
      <c r="P26" s="286"/>
      <c r="Q26" s="286"/>
      <c r="R26" s="286"/>
      <c r="S26" s="286"/>
      <c r="T26" s="286"/>
      <c r="U26" s="286"/>
      <c r="V26" s="286"/>
      <c r="W26" s="254"/>
      <c r="X26" s="285"/>
      <c r="Y26" s="285"/>
      <c r="Z26" s="285"/>
      <c r="AA26" s="285"/>
      <c r="AB26" s="285"/>
      <c r="AC26" s="285"/>
      <c r="AD26" s="285"/>
      <c r="AE26" s="253"/>
      <c r="AF26" s="253"/>
      <c r="AG26" s="253"/>
    </row>
    <row r="27" spans="1:33">
      <c r="A27" s="250" t="s">
        <v>571</v>
      </c>
      <c r="B27" s="251" t="s">
        <v>569</v>
      </c>
      <c r="C27" s="253"/>
      <c r="D27" s="253"/>
      <c r="E27" s="253"/>
      <c r="F27" s="286"/>
      <c r="G27" s="286"/>
      <c r="H27" s="286"/>
      <c r="I27" s="286"/>
      <c r="J27" s="286"/>
      <c r="K27" s="286"/>
      <c r="L27" s="286"/>
      <c r="M27" s="286"/>
      <c r="N27" s="286"/>
      <c r="O27" s="286"/>
      <c r="P27" s="286"/>
      <c r="Q27" s="286"/>
      <c r="R27" s="286"/>
      <c r="S27" s="286"/>
      <c r="T27" s="286"/>
      <c r="U27" s="286"/>
      <c r="V27" s="286"/>
      <c r="W27" s="286"/>
      <c r="X27" s="254"/>
      <c r="Y27" s="285"/>
      <c r="Z27" s="285"/>
      <c r="AA27" s="285"/>
      <c r="AB27" s="285"/>
      <c r="AC27" s="285"/>
      <c r="AD27" s="285"/>
      <c r="AE27" s="253"/>
      <c r="AF27" s="253"/>
      <c r="AG27" s="253"/>
    </row>
    <row r="28" spans="1:33">
      <c r="A28" s="250" t="s">
        <v>571</v>
      </c>
      <c r="B28" s="251" t="s">
        <v>572</v>
      </c>
      <c r="C28" s="253"/>
      <c r="D28" s="253"/>
      <c r="E28" s="253"/>
      <c r="F28" s="286"/>
      <c r="G28" s="286"/>
      <c r="H28" s="286"/>
      <c r="I28" s="286"/>
      <c r="J28" s="286"/>
      <c r="K28" s="286"/>
      <c r="L28" s="286"/>
      <c r="M28" s="286"/>
      <c r="N28" s="286"/>
      <c r="O28" s="286"/>
      <c r="P28" s="286"/>
      <c r="Q28" s="286"/>
      <c r="R28" s="286"/>
      <c r="S28" s="286"/>
      <c r="T28" s="286"/>
      <c r="U28" s="286"/>
      <c r="V28" s="286"/>
      <c r="W28" s="286"/>
      <c r="X28" s="286"/>
      <c r="Y28" s="254"/>
      <c r="Z28" s="285"/>
      <c r="AA28" s="285"/>
      <c r="AB28" s="285"/>
      <c r="AC28" s="285"/>
      <c r="AD28" s="285"/>
      <c r="AE28" s="253"/>
      <c r="AF28" s="253"/>
      <c r="AG28" s="253"/>
    </row>
    <row r="29" spans="1:33">
      <c r="A29" s="250" t="s">
        <v>571</v>
      </c>
      <c r="B29" s="300" t="s">
        <v>573</v>
      </c>
      <c r="C29" s="253"/>
      <c r="D29" s="253"/>
      <c r="E29" s="253"/>
      <c r="F29" s="286"/>
      <c r="G29" s="286"/>
      <c r="H29" s="286"/>
      <c r="I29" s="286"/>
      <c r="J29" s="286"/>
      <c r="K29" s="286"/>
      <c r="L29" s="286"/>
      <c r="M29" s="286"/>
      <c r="N29" s="286"/>
      <c r="O29" s="286"/>
      <c r="P29" s="286"/>
      <c r="Q29" s="286"/>
      <c r="R29" s="286"/>
      <c r="S29" s="286"/>
      <c r="T29" s="286"/>
      <c r="U29" s="286"/>
      <c r="V29" s="286"/>
      <c r="W29" s="286"/>
      <c r="X29" s="286"/>
      <c r="Y29" s="286"/>
      <c r="Z29" s="254"/>
      <c r="AA29" s="285"/>
      <c r="AB29" s="285"/>
      <c r="AC29" s="285"/>
      <c r="AD29" s="285"/>
      <c r="AE29" s="253"/>
      <c r="AF29" s="253"/>
      <c r="AG29" s="253"/>
    </row>
    <row r="30" spans="1:33">
      <c r="A30" s="250" t="s">
        <v>571</v>
      </c>
      <c r="B30" s="300" t="s">
        <v>574</v>
      </c>
      <c r="C30" s="253"/>
      <c r="D30" s="253"/>
      <c r="E30" s="253"/>
      <c r="F30" s="286"/>
      <c r="G30" s="286"/>
      <c r="H30" s="286"/>
      <c r="I30" s="286"/>
      <c r="J30" s="286"/>
      <c r="K30" s="286"/>
      <c r="L30" s="286"/>
      <c r="M30" s="286"/>
      <c r="N30" s="286"/>
      <c r="O30" s="286"/>
      <c r="P30" s="286"/>
      <c r="Q30" s="286"/>
      <c r="R30" s="286"/>
      <c r="S30" s="286"/>
      <c r="T30" s="286"/>
      <c r="U30" s="286"/>
      <c r="V30" s="286"/>
      <c r="W30" s="286"/>
      <c r="X30" s="286"/>
      <c r="Y30" s="286"/>
      <c r="Z30" s="286"/>
      <c r="AA30" s="254"/>
      <c r="AB30" s="285"/>
      <c r="AC30" s="285"/>
      <c r="AD30" s="285"/>
      <c r="AE30" s="253"/>
      <c r="AF30" s="253"/>
      <c r="AG30" s="253"/>
    </row>
    <row r="31" spans="1:33">
      <c r="A31" s="250" t="s">
        <v>571</v>
      </c>
      <c r="B31" s="300" t="s">
        <v>575</v>
      </c>
      <c r="C31" s="253"/>
      <c r="D31" s="253"/>
      <c r="E31" s="253"/>
      <c r="F31" s="286"/>
      <c r="G31" s="286"/>
      <c r="H31" s="286"/>
      <c r="I31" s="286"/>
      <c r="J31" s="286"/>
      <c r="K31" s="286"/>
      <c r="L31" s="286"/>
      <c r="M31" s="286"/>
      <c r="N31" s="286"/>
      <c r="O31" s="286"/>
      <c r="P31" s="286"/>
      <c r="Q31" s="286"/>
      <c r="R31" s="286"/>
      <c r="S31" s="286"/>
      <c r="T31" s="286"/>
      <c r="U31" s="286"/>
      <c r="V31" s="286"/>
      <c r="W31" s="286"/>
      <c r="X31" s="286"/>
      <c r="Y31" s="286"/>
      <c r="Z31" s="286"/>
      <c r="AA31" s="286"/>
      <c r="AB31" s="254"/>
      <c r="AC31" s="285"/>
      <c r="AD31" s="285"/>
      <c r="AE31" s="253"/>
      <c r="AF31" s="253"/>
      <c r="AG31" s="253"/>
    </row>
    <row r="32" spans="1:33">
      <c r="A32" s="250" t="s">
        <v>571</v>
      </c>
      <c r="B32" s="300" t="s">
        <v>576</v>
      </c>
      <c r="C32" s="253"/>
      <c r="D32" s="253"/>
      <c r="E32" s="253"/>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54"/>
      <c r="AD32" s="285"/>
      <c r="AE32" s="253"/>
      <c r="AF32" s="253"/>
      <c r="AG32" s="253"/>
    </row>
    <row r="33" spans="1:36">
      <c r="A33" s="250" t="s">
        <v>571</v>
      </c>
      <c r="B33" s="300" t="s">
        <v>577</v>
      </c>
      <c r="C33" s="253"/>
      <c r="D33" s="253"/>
      <c r="E33" s="253"/>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54"/>
      <c r="AE33" s="253"/>
      <c r="AF33" s="253"/>
      <c r="AG33" s="253"/>
    </row>
    <row r="34" spans="1:36">
      <c r="A34" s="255"/>
      <c r="B34" s="256" t="s">
        <v>235</v>
      </c>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row>
    <row r="36" spans="1:36" s="259" customFormat="1">
      <c r="A36" s="244"/>
      <c r="B36" s="245" t="s">
        <v>578</v>
      </c>
      <c r="C36" s="244"/>
      <c r="D36" s="244"/>
      <c r="E36" s="244"/>
      <c r="F36" s="244"/>
      <c r="G36" s="244"/>
      <c r="H36" s="244"/>
      <c r="I36" s="244"/>
      <c r="J36" s="244"/>
      <c r="K36" s="283" t="s">
        <v>56</v>
      </c>
      <c r="L36" s="244"/>
      <c r="M36" s="258"/>
      <c r="N36" s="244"/>
      <c r="O36" s="258"/>
      <c r="P36" s="258"/>
      <c r="Q36" s="244"/>
      <c r="R36" s="244"/>
      <c r="S36" s="244"/>
      <c r="T36" s="244"/>
      <c r="U36" s="244"/>
      <c r="V36" s="244"/>
      <c r="W36" s="244"/>
      <c r="X36" s="244"/>
      <c r="Y36" s="244"/>
      <c r="Z36" s="244"/>
      <c r="AA36" s="244"/>
      <c r="AB36" s="244"/>
      <c r="AC36" s="244"/>
      <c r="AD36" s="244"/>
      <c r="AE36" s="244"/>
      <c r="AF36" s="244"/>
      <c r="AG36" s="244"/>
      <c r="AI36" s="260"/>
      <c r="AJ36" s="260"/>
    </row>
    <row r="37" spans="1:36" ht="25.5">
      <c r="A37" s="248"/>
      <c r="B37" s="247" t="s">
        <v>543</v>
      </c>
      <c r="C37" s="1057" t="s">
        <v>579</v>
      </c>
      <c r="D37" s="1057" t="s">
        <v>545</v>
      </c>
      <c r="E37" s="1057" t="s">
        <v>546</v>
      </c>
      <c r="F37" s="1059" t="s">
        <v>547</v>
      </c>
      <c r="G37" s="1060"/>
      <c r="H37" s="1060"/>
      <c r="I37" s="1060"/>
      <c r="J37" s="1060"/>
      <c r="K37" s="1060"/>
      <c r="L37" s="1060"/>
      <c r="M37" s="1060"/>
      <c r="N37" s="1060"/>
      <c r="O37" s="1060"/>
      <c r="P37" s="1060"/>
      <c r="Q37" s="1060"/>
      <c r="R37" s="1060"/>
      <c r="S37" s="1060"/>
      <c r="T37" s="1060"/>
      <c r="U37" s="1060"/>
      <c r="V37" s="1060"/>
      <c r="W37" s="1060"/>
      <c r="X37" s="1060"/>
      <c r="Y37" s="1060"/>
      <c r="Z37" s="1060"/>
      <c r="AA37" s="1060"/>
      <c r="AB37" s="1060"/>
      <c r="AC37" s="1060"/>
      <c r="AD37" s="1061"/>
      <c r="AE37" s="284" t="s">
        <v>548</v>
      </c>
      <c r="AF37" s="284" t="s">
        <v>549</v>
      </c>
      <c r="AG37" s="284" t="s">
        <v>550</v>
      </c>
    </row>
    <row r="38" spans="1:36">
      <c r="A38" s="248"/>
      <c r="B38" s="247"/>
      <c r="C38" s="1058"/>
      <c r="D38" s="1058"/>
      <c r="E38" s="1058"/>
      <c r="F38" s="249" t="s">
        <v>551</v>
      </c>
      <c r="G38" s="249" t="s">
        <v>552</v>
      </c>
      <c r="H38" s="249" t="s">
        <v>553</v>
      </c>
      <c r="I38" s="249" t="s">
        <v>554</v>
      </c>
      <c r="J38" s="249" t="s">
        <v>555</v>
      </c>
      <c r="K38" s="249" t="s">
        <v>556</v>
      </c>
      <c r="L38" s="249" t="s">
        <v>557</v>
      </c>
      <c r="M38" s="249" t="s">
        <v>558</v>
      </c>
      <c r="N38" s="249" t="s">
        <v>559</v>
      </c>
      <c r="O38" s="249" t="s">
        <v>560</v>
      </c>
      <c r="P38" s="249" t="s">
        <v>561</v>
      </c>
      <c r="Q38" s="249" t="s">
        <v>562</v>
      </c>
      <c r="R38" s="249" t="s">
        <v>563</v>
      </c>
      <c r="S38" s="249" t="s">
        <v>564</v>
      </c>
      <c r="T38" s="249" t="s">
        <v>565</v>
      </c>
      <c r="U38" s="249" t="s">
        <v>566</v>
      </c>
      <c r="V38" s="249" t="s">
        <v>567</v>
      </c>
      <c r="W38" s="249" t="s">
        <v>568</v>
      </c>
      <c r="X38" s="249" t="s">
        <v>569</v>
      </c>
      <c r="Y38" s="249" t="s">
        <v>60</v>
      </c>
      <c r="Z38" s="249" t="s">
        <v>70</v>
      </c>
      <c r="AA38" s="249" t="s">
        <v>71</v>
      </c>
      <c r="AB38" s="249" t="s">
        <v>72</v>
      </c>
      <c r="AC38" s="249" t="s">
        <v>73</v>
      </c>
      <c r="AD38" s="249" t="s">
        <v>74</v>
      </c>
      <c r="AE38" s="284"/>
      <c r="AF38" s="284"/>
      <c r="AG38" s="284"/>
    </row>
    <row r="39" spans="1:36">
      <c r="A39" s="250" t="s">
        <v>570</v>
      </c>
      <c r="B39" s="251">
        <v>2005</v>
      </c>
      <c r="C39" s="250"/>
      <c r="D39" s="250"/>
      <c r="E39" s="261"/>
      <c r="F39" s="253"/>
      <c r="G39" s="253"/>
      <c r="H39" s="253"/>
      <c r="I39" s="253"/>
      <c r="J39" s="253"/>
      <c r="K39" s="285"/>
      <c r="L39" s="285"/>
      <c r="M39" s="285"/>
      <c r="N39" s="285"/>
      <c r="O39" s="285"/>
      <c r="P39" s="285"/>
      <c r="Q39" s="285"/>
      <c r="R39" s="285"/>
      <c r="S39" s="285"/>
      <c r="T39" s="285"/>
      <c r="U39" s="285"/>
      <c r="V39" s="285"/>
      <c r="W39" s="285"/>
      <c r="X39" s="285"/>
      <c r="Y39" s="285"/>
      <c r="Z39" s="285"/>
      <c r="AA39" s="285"/>
      <c r="AB39" s="285"/>
      <c r="AC39" s="285"/>
      <c r="AD39" s="285"/>
      <c r="AE39" s="253"/>
      <c r="AF39" s="253"/>
      <c r="AG39" s="287"/>
      <c r="AI39" s="258"/>
    </row>
    <row r="40" spans="1:36">
      <c r="A40" s="250" t="s">
        <v>571</v>
      </c>
      <c r="B40" s="251" t="s">
        <v>551</v>
      </c>
      <c r="C40" s="250"/>
      <c r="D40" s="250"/>
      <c r="E40" s="261"/>
      <c r="F40" s="254"/>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53"/>
      <c r="AF40" s="253"/>
      <c r="AG40" s="287"/>
      <c r="AI40" s="258"/>
    </row>
    <row r="41" spans="1:36">
      <c r="A41" s="250" t="s">
        <v>571</v>
      </c>
      <c r="B41" s="251" t="s">
        <v>552</v>
      </c>
      <c r="C41" s="250"/>
      <c r="D41" s="250"/>
      <c r="E41" s="261"/>
      <c r="F41" s="286"/>
      <c r="G41" s="254"/>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53"/>
      <c r="AF41" s="253"/>
      <c r="AG41" s="287"/>
      <c r="AI41" s="258"/>
    </row>
    <row r="42" spans="1:36">
      <c r="A42" s="250" t="s">
        <v>571</v>
      </c>
      <c r="B42" s="251" t="s">
        <v>553</v>
      </c>
      <c r="C42" s="250"/>
      <c r="D42" s="250"/>
      <c r="E42" s="261"/>
      <c r="F42" s="286"/>
      <c r="G42" s="286"/>
      <c r="H42" s="254"/>
      <c r="I42" s="285"/>
      <c r="J42" s="285"/>
      <c r="K42" s="285"/>
      <c r="L42" s="285"/>
      <c r="M42" s="285"/>
      <c r="N42" s="285"/>
      <c r="O42" s="285"/>
      <c r="P42" s="285"/>
      <c r="Q42" s="285"/>
      <c r="R42" s="285"/>
      <c r="S42" s="285"/>
      <c r="T42" s="285"/>
      <c r="U42" s="285"/>
      <c r="V42" s="285"/>
      <c r="W42" s="285"/>
      <c r="X42" s="285"/>
      <c r="Y42" s="285"/>
      <c r="Z42" s="285"/>
      <c r="AA42" s="285"/>
      <c r="AB42" s="285"/>
      <c r="AC42" s="285"/>
      <c r="AD42" s="285"/>
      <c r="AE42" s="253"/>
      <c r="AF42" s="253"/>
      <c r="AG42" s="287"/>
      <c r="AI42" s="258"/>
    </row>
    <row r="43" spans="1:36">
      <c r="A43" s="250" t="s">
        <v>571</v>
      </c>
      <c r="B43" s="251" t="s">
        <v>554</v>
      </c>
      <c r="C43" s="250"/>
      <c r="D43" s="250"/>
      <c r="E43" s="261"/>
      <c r="F43" s="286"/>
      <c r="G43" s="286"/>
      <c r="H43" s="286"/>
      <c r="I43" s="254"/>
      <c r="J43" s="285"/>
      <c r="K43" s="285"/>
      <c r="L43" s="285"/>
      <c r="M43" s="285"/>
      <c r="N43" s="285"/>
      <c r="O43" s="285"/>
      <c r="P43" s="285"/>
      <c r="Q43" s="285"/>
      <c r="R43" s="285"/>
      <c r="S43" s="285"/>
      <c r="T43" s="285"/>
      <c r="U43" s="285"/>
      <c r="V43" s="285"/>
      <c r="W43" s="285"/>
      <c r="X43" s="285"/>
      <c r="Y43" s="285"/>
      <c r="Z43" s="285"/>
      <c r="AA43" s="285"/>
      <c r="AB43" s="285"/>
      <c r="AC43" s="285"/>
      <c r="AD43" s="285"/>
      <c r="AE43" s="253"/>
      <c r="AF43" s="253"/>
      <c r="AG43" s="287"/>
      <c r="AI43" s="258"/>
    </row>
    <row r="44" spans="1:36">
      <c r="A44" s="250" t="s">
        <v>571</v>
      </c>
      <c r="B44" s="251" t="s">
        <v>555</v>
      </c>
      <c r="C44" s="250"/>
      <c r="D44" s="250"/>
      <c r="E44" s="261"/>
      <c r="F44" s="286"/>
      <c r="G44" s="286"/>
      <c r="H44" s="286"/>
      <c r="I44" s="286"/>
      <c r="J44" s="254"/>
      <c r="K44" s="285"/>
      <c r="L44" s="285"/>
      <c r="M44" s="285"/>
      <c r="N44" s="285"/>
      <c r="O44" s="285"/>
      <c r="P44" s="285"/>
      <c r="Q44" s="285"/>
      <c r="R44" s="285"/>
      <c r="S44" s="285"/>
      <c r="T44" s="285"/>
      <c r="U44" s="285"/>
      <c r="V44" s="285"/>
      <c r="W44" s="285"/>
      <c r="X44" s="285"/>
      <c r="Y44" s="285"/>
      <c r="Z44" s="285"/>
      <c r="AA44" s="285"/>
      <c r="AB44" s="285"/>
      <c r="AC44" s="285"/>
      <c r="AD44" s="285"/>
      <c r="AE44" s="253"/>
      <c r="AF44" s="253"/>
      <c r="AG44" s="287"/>
      <c r="AI44" s="258"/>
    </row>
    <row r="45" spans="1:36">
      <c r="A45" s="250" t="s">
        <v>571</v>
      </c>
      <c r="B45" s="251" t="s">
        <v>556</v>
      </c>
      <c r="C45" s="250"/>
      <c r="D45" s="250"/>
      <c r="E45" s="261"/>
      <c r="F45" s="286"/>
      <c r="G45" s="286"/>
      <c r="H45" s="286"/>
      <c r="I45" s="286"/>
      <c r="J45" s="286"/>
      <c r="K45" s="254"/>
      <c r="L45" s="285"/>
      <c r="M45" s="285"/>
      <c r="N45" s="285"/>
      <c r="O45" s="285"/>
      <c r="P45" s="285"/>
      <c r="Q45" s="285"/>
      <c r="R45" s="285"/>
      <c r="S45" s="285"/>
      <c r="T45" s="285"/>
      <c r="U45" s="285"/>
      <c r="V45" s="285"/>
      <c r="W45" s="285"/>
      <c r="X45" s="285"/>
      <c r="Y45" s="285"/>
      <c r="Z45" s="285"/>
      <c r="AA45" s="285"/>
      <c r="AB45" s="285"/>
      <c r="AC45" s="285"/>
      <c r="AD45" s="285"/>
      <c r="AE45" s="253"/>
      <c r="AF45" s="253"/>
      <c r="AG45" s="287"/>
    </row>
    <row r="46" spans="1:36">
      <c r="A46" s="250" t="s">
        <v>571</v>
      </c>
      <c r="B46" s="251" t="s">
        <v>557</v>
      </c>
      <c r="C46" s="250"/>
      <c r="D46" s="250"/>
      <c r="E46" s="261"/>
      <c r="F46" s="286"/>
      <c r="G46" s="286"/>
      <c r="H46" s="286"/>
      <c r="I46" s="286"/>
      <c r="J46" s="286"/>
      <c r="K46" s="286"/>
      <c r="L46" s="254"/>
      <c r="M46" s="285"/>
      <c r="N46" s="285"/>
      <c r="O46" s="285"/>
      <c r="P46" s="285"/>
      <c r="Q46" s="285"/>
      <c r="R46" s="285"/>
      <c r="S46" s="285"/>
      <c r="T46" s="285"/>
      <c r="U46" s="285"/>
      <c r="V46" s="285"/>
      <c r="W46" s="285"/>
      <c r="X46" s="285"/>
      <c r="Y46" s="285"/>
      <c r="Z46" s="285"/>
      <c r="AA46" s="285"/>
      <c r="AB46" s="285"/>
      <c r="AC46" s="285"/>
      <c r="AD46" s="285"/>
      <c r="AE46" s="253"/>
      <c r="AF46" s="253"/>
      <c r="AG46" s="287"/>
    </row>
    <row r="47" spans="1:36">
      <c r="A47" s="250" t="s">
        <v>571</v>
      </c>
      <c r="B47" s="251" t="s">
        <v>558</v>
      </c>
      <c r="C47" s="250"/>
      <c r="D47" s="250"/>
      <c r="E47" s="261"/>
      <c r="F47" s="286"/>
      <c r="G47" s="286"/>
      <c r="H47" s="286"/>
      <c r="I47" s="286"/>
      <c r="J47" s="286"/>
      <c r="K47" s="286"/>
      <c r="L47" s="286"/>
      <c r="M47" s="254"/>
      <c r="N47" s="285"/>
      <c r="O47" s="285"/>
      <c r="P47" s="285"/>
      <c r="Q47" s="285"/>
      <c r="R47" s="285"/>
      <c r="S47" s="285"/>
      <c r="T47" s="285"/>
      <c r="U47" s="285"/>
      <c r="V47" s="285"/>
      <c r="W47" s="285"/>
      <c r="X47" s="285"/>
      <c r="Y47" s="285"/>
      <c r="Z47" s="285"/>
      <c r="AA47" s="285"/>
      <c r="AB47" s="285"/>
      <c r="AC47" s="285"/>
      <c r="AD47" s="285"/>
      <c r="AE47" s="253"/>
      <c r="AF47" s="253"/>
      <c r="AG47" s="287"/>
    </row>
    <row r="48" spans="1:36">
      <c r="A48" s="250" t="s">
        <v>571</v>
      </c>
      <c r="B48" s="251" t="s">
        <v>559</v>
      </c>
      <c r="C48" s="250"/>
      <c r="D48" s="250"/>
      <c r="E48" s="261"/>
      <c r="F48" s="286"/>
      <c r="G48" s="286"/>
      <c r="H48" s="286"/>
      <c r="I48" s="286"/>
      <c r="J48" s="286"/>
      <c r="K48" s="286"/>
      <c r="L48" s="286"/>
      <c r="M48" s="286"/>
      <c r="N48" s="254"/>
      <c r="O48" s="285"/>
      <c r="P48" s="285"/>
      <c r="Q48" s="285"/>
      <c r="R48" s="285"/>
      <c r="S48" s="285"/>
      <c r="T48" s="285"/>
      <c r="U48" s="285"/>
      <c r="V48" s="285"/>
      <c r="W48" s="285"/>
      <c r="X48" s="285"/>
      <c r="Y48" s="285"/>
      <c r="Z48" s="285"/>
      <c r="AA48" s="285"/>
      <c r="AB48" s="285"/>
      <c r="AC48" s="285"/>
      <c r="AD48" s="285"/>
      <c r="AE48" s="253"/>
      <c r="AF48" s="253"/>
      <c r="AG48" s="287"/>
    </row>
    <row r="49" spans="1:33">
      <c r="A49" s="250" t="s">
        <v>571</v>
      </c>
      <c r="B49" s="251" t="s">
        <v>560</v>
      </c>
      <c r="C49" s="250"/>
      <c r="D49" s="250"/>
      <c r="E49" s="261"/>
      <c r="F49" s="286"/>
      <c r="G49" s="286"/>
      <c r="H49" s="286"/>
      <c r="I49" s="286"/>
      <c r="J49" s="286"/>
      <c r="K49" s="286"/>
      <c r="L49" s="286"/>
      <c r="M49" s="286"/>
      <c r="N49" s="286"/>
      <c r="O49" s="254"/>
      <c r="P49" s="285"/>
      <c r="Q49" s="285"/>
      <c r="R49" s="285"/>
      <c r="S49" s="285"/>
      <c r="T49" s="285"/>
      <c r="U49" s="285"/>
      <c r="V49" s="285"/>
      <c r="W49" s="285"/>
      <c r="X49" s="285"/>
      <c r="Y49" s="285"/>
      <c r="Z49" s="285"/>
      <c r="AA49" s="285"/>
      <c r="AB49" s="285"/>
      <c r="AC49" s="285"/>
      <c r="AD49" s="285"/>
      <c r="AE49" s="253"/>
      <c r="AF49" s="253"/>
      <c r="AG49" s="287"/>
    </row>
    <row r="50" spans="1:33">
      <c r="A50" s="250" t="s">
        <v>571</v>
      </c>
      <c r="B50" s="251" t="s">
        <v>561</v>
      </c>
      <c r="C50" s="250"/>
      <c r="D50" s="250"/>
      <c r="E50" s="261"/>
      <c r="F50" s="286"/>
      <c r="G50" s="286"/>
      <c r="H50" s="286"/>
      <c r="I50" s="286"/>
      <c r="J50" s="286"/>
      <c r="K50" s="286"/>
      <c r="L50" s="286"/>
      <c r="M50" s="286"/>
      <c r="N50" s="286"/>
      <c r="O50" s="286"/>
      <c r="P50" s="254"/>
      <c r="Q50" s="285"/>
      <c r="R50" s="285"/>
      <c r="S50" s="285"/>
      <c r="T50" s="285"/>
      <c r="U50" s="285"/>
      <c r="V50" s="285"/>
      <c r="W50" s="285"/>
      <c r="X50" s="285"/>
      <c r="Y50" s="285"/>
      <c r="Z50" s="285"/>
      <c r="AA50" s="285"/>
      <c r="AB50" s="285"/>
      <c r="AC50" s="285"/>
      <c r="AD50" s="285"/>
      <c r="AE50" s="253"/>
      <c r="AF50" s="253"/>
      <c r="AG50" s="287"/>
    </row>
    <row r="51" spans="1:33">
      <c r="A51" s="250" t="s">
        <v>571</v>
      </c>
      <c r="B51" s="251" t="s">
        <v>562</v>
      </c>
      <c r="C51" s="250"/>
      <c r="D51" s="250"/>
      <c r="E51" s="261"/>
      <c r="F51" s="286"/>
      <c r="G51" s="286"/>
      <c r="H51" s="286"/>
      <c r="I51" s="286"/>
      <c r="J51" s="286"/>
      <c r="K51" s="286"/>
      <c r="L51" s="286"/>
      <c r="M51" s="286"/>
      <c r="N51" s="286"/>
      <c r="O51" s="286"/>
      <c r="P51" s="286"/>
      <c r="Q51" s="254"/>
      <c r="R51" s="285"/>
      <c r="S51" s="285"/>
      <c r="T51" s="285"/>
      <c r="U51" s="285"/>
      <c r="V51" s="285"/>
      <c r="W51" s="285"/>
      <c r="X51" s="285"/>
      <c r="Y51" s="285"/>
      <c r="Z51" s="285"/>
      <c r="AA51" s="285"/>
      <c r="AB51" s="285"/>
      <c r="AC51" s="285"/>
      <c r="AD51" s="285"/>
      <c r="AE51" s="253"/>
      <c r="AF51" s="253"/>
      <c r="AG51" s="287"/>
    </row>
    <row r="52" spans="1:33">
      <c r="A52" s="250" t="s">
        <v>571</v>
      </c>
      <c r="B52" s="251" t="s">
        <v>563</v>
      </c>
      <c r="C52" s="250"/>
      <c r="D52" s="250"/>
      <c r="E52" s="261"/>
      <c r="F52" s="286"/>
      <c r="G52" s="286"/>
      <c r="H52" s="286"/>
      <c r="I52" s="286"/>
      <c r="J52" s="286"/>
      <c r="K52" s="286"/>
      <c r="L52" s="286"/>
      <c r="M52" s="286"/>
      <c r="N52" s="286"/>
      <c r="O52" s="286"/>
      <c r="P52" s="286"/>
      <c r="Q52" s="286"/>
      <c r="R52" s="254"/>
      <c r="S52" s="285"/>
      <c r="T52" s="285"/>
      <c r="U52" s="285"/>
      <c r="V52" s="285"/>
      <c r="W52" s="285"/>
      <c r="X52" s="285"/>
      <c r="Y52" s="285"/>
      <c r="Z52" s="285"/>
      <c r="AA52" s="285"/>
      <c r="AB52" s="285"/>
      <c r="AC52" s="285"/>
      <c r="AD52" s="285"/>
      <c r="AE52" s="253"/>
      <c r="AF52" s="253"/>
      <c r="AG52" s="287"/>
    </row>
    <row r="53" spans="1:33">
      <c r="A53" s="250" t="s">
        <v>571</v>
      </c>
      <c r="B53" s="251" t="s">
        <v>564</v>
      </c>
      <c r="C53" s="250"/>
      <c r="D53" s="250"/>
      <c r="E53" s="261"/>
      <c r="F53" s="286"/>
      <c r="G53" s="286"/>
      <c r="H53" s="286"/>
      <c r="I53" s="286"/>
      <c r="J53" s="286"/>
      <c r="K53" s="286"/>
      <c r="L53" s="286"/>
      <c r="M53" s="286"/>
      <c r="N53" s="286"/>
      <c r="O53" s="286"/>
      <c r="P53" s="286"/>
      <c r="Q53" s="286"/>
      <c r="R53" s="286"/>
      <c r="S53" s="254"/>
      <c r="T53" s="285"/>
      <c r="U53" s="285"/>
      <c r="V53" s="285"/>
      <c r="W53" s="285"/>
      <c r="X53" s="285"/>
      <c r="Y53" s="285"/>
      <c r="Z53" s="285"/>
      <c r="AA53" s="285"/>
      <c r="AB53" s="285"/>
      <c r="AC53" s="285"/>
      <c r="AD53" s="285"/>
      <c r="AE53" s="253"/>
      <c r="AF53" s="253"/>
      <c r="AG53" s="287"/>
    </row>
    <row r="54" spans="1:33">
      <c r="A54" s="250" t="s">
        <v>571</v>
      </c>
      <c r="B54" s="251" t="s">
        <v>565</v>
      </c>
      <c r="C54" s="253"/>
      <c r="D54" s="250"/>
      <c r="E54" s="261"/>
      <c r="F54" s="286"/>
      <c r="G54" s="286"/>
      <c r="H54" s="286"/>
      <c r="I54" s="286"/>
      <c r="J54" s="286"/>
      <c r="K54" s="286"/>
      <c r="L54" s="286"/>
      <c r="M54" s="286"/>
      <c r="N54" s="286"/>
      <c r="O54" s="286"/>
      <c r="P54" s="286"/>
      <c r="Q54" s="286"/>
      <c r="R54" s="286"/>
      <c r="S54" s="286"/>
      <c r="T54" s="254"/>
      <c r="U54" s="285"/>
      <c r="V54" s="285"/>
      <c r="W54" s="285"/>
      <c r="X54" s="285"/>
      <c r="Y54" s="285"/>
      <c r="Z54" s="285"/>
      <c r="AA54" s="285"/>
      <c r="AB54" s="285"/>
      <c r="AC54" s="285"/>
      <c r="AD54" s="285"/>
      <c r="AE54" s="253"/>
      <c r="AF54" s="253"/>
      <c r="AG54" s="287"/>
    </row>
    <row r="55" spans="1:33">
      <c r="A55" s="250" t="s">
        <v>571</v>
      </c>
      <c r="B55" s="251" t="s">
        <v>566</v>
      </c>
      <c r="C55" s="253"/>
      <c r="D55" s="250"/>
      <c r="E55" s="261"/>
      <c r="F55" s="286"/>
      <c r="G55" s="286"/>
      <c r="H55" s="286"/>
      <c r="I55" s="286"/>
      <c r="J55" s="286"/>
      <c r="K55" s="286"/>
      <c r="L55" s="286"/>
      <c r="M55" s="286"/>
      <c r="N55" s="286"/>
      <c r="O55" s="286"/>
      <c r="P55" s="286"/>
      <c r="Q55" s="286"/>
      <c r="R55" s="286"/>
      <c r="S55" s="286"/>
      <c r="T55" s="286"/>
      <c r="U55" s="254"/>
      <c r="V55" s="285"/>
      <c r="W55" s="285"/>
      <c r="X55" s="285"/>
      <c r="Y55" s="285"/>
      <c r="Z55" s="285"/>
      <c r="AA55" s="285"/>
      <c r="AB55" s="285"/>
      <c r="AC55" s="285"/>
      <c r="AD55" s="285"/>
      <c r="AE55" s="253"/>
      <c r="AF55" s="253"/>
      <c r="AG55" s="287"/>
    </row>
    <row r="56" spans="1:33">
      <c r="A56" s="250" t="s">
        <v>571</v>
      </c>
      <c r="B56" s="251" t="s">
        <v>567</v>
      </c>
      <c r="C56" s="288"/>
      <c r="D56" s="253"/>
      <c r="E56" s="261"/>
      <c r="F56" s="286"/>
      <c r="G56" s="286"/>
      <c r="H56" s="286"/>
      <c r="I56" s="286"/>
      <c r="J56" s="286"/>
      <c r="K56" s="286"/>
      <c r="L56" s="286"/>
      <c r="M56" s="286"/>
      <c r="N56" s="286"/>
      <c r="O56" s="286"/>
      <c r="P56" s="286"/>
      <c r="Q56" s="286"/>
      <c r="R56" s="286"/>
      <c r="S56" s="286"/>
      <c r="T56" s="286"/>
      <c r="U56" s="286"/>
      <c r="V56" s="254"/>
      <c r="W56" s="285"/>
      <c r="X56" s="285"/>
      <c r="Y56" s="285"/>
      <c r="Z56" s="285"/>
      <c r="AA56" s="285"/>
      <c r="AB56" s="285"/>
      <c r="AC56" s="285"/>
      <c r="AD56" s="285"/>
      <c r="AE56" s="253"/>
      <c r="AF56" s="253"/>
      <c r="AG56" s="287"/>
    </row>
    <row r="57" spans="1:33">
      <c r="A57" s="250" t="s">
        <v>571</v>
      </c>
      <c r="B57" s="251" t="s">
        <v>568</v>
      </c>
      <c r="C57" s="253"/>
      <c r="D57" s="253"/>
      <c r="E57" s="261"/>
      <c r="F57" s="286"/>
      <c r="G57" s="286"/>
      <c r="H57" s="286"/>
      <c r="I57" s="286"/>
      <c r="J57" s="286"/>
      <c r="K57" s="286"/>
      <c r="L57" s="286"/>
      <c r="M57" s="286"/>
      <c r="N57" s="286"/>
      <c r="O57" s="286"/>
      <c r="P57" s="286"/>
      <c r="Q57" s="286"/>
      <c r="R57" s="286"/>
      <c r="S57" s="286"/>
      <c r="T57" s="286"/>
      <c r="U57" s="286"/>
      <c r="V57" s="286"/>
      <c r="W57" s="254"/>
      <c r="X57" s="285"/>
      <c r="Y57" s="285"/>
      <c r="Z57" s="285"/>
      <c r="AA57" s="285"/>
      <c r="AB57" s="285"/>
      <c r="AC57" s="285"/>
      <c r="AD57" s="285"/>
      <c r="AE57" s="253"/>
      <c r="AF57" s="253"/>
      <c r="AG57" s="287"/>
    </row>
    <row r="58" spans="1:33">
      <c r="A58" s="250" t="s">
        <v>571</v>
      </c>
      <c r="B58" s="251" t="s">
        <v>569</v>
      </c>
      <c r="C58" s="253"/>
      <c r="D58" s="253"/>
      <c r="E58" s="261"/>
      <c r="F58" s="286"/>
      <c r="G58" s="286"/>
      <c r="H58" s="286"/>
      <c r="I58" s="286"/>
      <c r="J58" s="286"/>
      <c r="K58" s="286"/>
      <c r="L58" s="286"/>
      <c r="M58" s="286"/>
      <c r="N58" s="286"/>
      <c r="O58" s="286"/>
      <c r="P58" s="286"/>
      <c r="Q58" s="286"/>
      <c r="R58" s="286"/>
      <c r="S58" s="286"/>
      <c r="T58" s="286"/>
      <c r="U58" s="286"/>
      <c r="V58" s="286"/>
      <c r="W58" s="286"/>
      <c r="X58" s="254"/>
      <c r="Y58" s="285"/>
      <c r="Z58" s="285"/>
      <c r="AA58" s="285"/>
      <c r="AB58" s="285"/>
      <c r="AC58" s="285"/>
      <c r="AD58" s="285"/>
      <c r="AE58" s="253"/>
      <c r="AF58" s="253"/>
      <c r="AG58" s="287"/>
    </row>
    <row r="59" spans="1:33">
      <c r="A59" s="250" t="s">
        <v>571</v>
      </c>
      <c r="B59" s="251" t="s">
        <v>572</v>
      </c>
      <c r="C59" s="253"/>
      <c r="D59" s="253"/>
      <c r="E59" s="262"/>
      <c r="F59" s="286"/>
      <c r="G59" s="286"/>
      <c r="H59" s="286"/>
      <c r="I59" s="286"/>
      <c r="J59" s="286"/>
      <c r="K59" s="286"/>
      <c r="L59" s="286"/>
      <c r="M59" s="286"/>
      <c r="N59" s="286"/>
      <c r="O59" s="286"/>
      <c r="P59" s="286"/>
      <c r="Q59" s="286"/>
      <c r="R59" s="286"/>
      <c r="S59" s="286"/>
      <c r="T59" s="286"/>
      <c r="U59" s="286"/>
      <c r="V59" s="286"/>
      <c r="W59" s="286"/>
      <c r="X59" s="286"/>
      <c r="Y59" s="254"/>
      <c r="Z59" s="285"/>
      <c r="AA59" s="285"/>
      <c r="AB59" s="285"/>
      <c r="AC59" s="285"/>
      <c r="AD59" s="285"/>
      <c r="AE59" s="253"/>
      <c r="AF59" s="253"/>
      <c r="AG59" s="287"/>
    </row>
    <row r="60" spans="1:33">
      <c r="A60" s="250" t="s">
        <v>571</v>
      </c>
      <c r="B60" t="s">
        <v>573</v>
      </c>
      <c r="C60" s="253"/>
      <c r="D60" s="253"/>
      <c r="E60" s="262"/>
      <c r="F60" s="286"/>
      <c r="G60" s="286"/>
      <c r="H60" s="286"/>
      <c r="I60" s="286"/>
      <c r="J60" s="286"/>
      <c r="K60" s="286"/>
      <c r="L60" s="286"/>
      <c r="M60" s="286"/>
      <c r="N60" s="286"/>
      <c r="O60" s="286"/>
      <c r="P60" s="286"/>
      <c r="Q60" s="286"/>
      <c r="R60" s="286"/>
      <c r="S60" s="286"/>
      <c r="T60" s="286"/>
      <c r="U60" s="286"/>
      <c r="V60" s="286"/>
      <c r="W60" s="286"/>
      <c r="X60" s="286"/>
      <c r="Y60" s="286"/>
      <c r="Z60" s="254"/>
      <c r="AA60" s="285"/>
      <c r="AB60" s="285"/>
      <c r="AC60" s="285"/>
      <c r="AD60" s="285"/>
      <c r="AE60" s="253"/>
      <c r="AF60" s="253"/>
      <c r="AG60" s="287"/>
    </row>
    <row r="61" spans="1:33">
      <c r="A61" s="250" t="s">
        <v>571</v>
      </c>
      <c r="B61" t="s">
        <v>574</v>
      </c>
      <c r="C61" s="253"/>
      <c r="D61" s="253"/>
      <c r="E61" s="262"/>
      <c r="F61" s="286"/>
      <c r="G61" s="286"/>
      <c r="H61" s="286"/>
      <c r="I61" s="286"/>
      <c r="J61" s="286"/>
      <c r="K61" s="286"/>
      <c r="L61" s="286"/>
      <c r="M61" s="286"/>
      <c r="N61" s="286"/>
      <c r="O61" s="286"/>
      <c r="P61" s="286"/>
      <c r="Q61" s="286"/>
      <c r="R61" s="286"/>
      <c r="S61" s="286"/>
      <c r="T61" s="286"/>
      <c r="U61" s="286"/>
      <c r="V61" s="286"/>
      <c r="W61" s="286"/>
      <c r="X61" s="286"/>
      <c r="Y61" s="286"/>
      <c r="Z61" s="286"/>
      <c r="AA61" s="254"/>
      <c r="AB61" s="285"/>
      <c r="AC61" s="285"/>
      <c r="AD61" s="285"/>
      <c r="AE61" s="253"/>
      <c r="AF61" s="253"/>
      <c r="AG61" s="287"/>
    </row>
    <row r="62" spans="1:33">
      <c r="A62" s="250" t="s">
        <v>571</v>
      </c>
      <c r="B62" t="s">
        <v>575</v>
      </c>
      <c r="C62" s="253"/>
      <c r="D62" s="253"/>
      <c r="E62" s="262"/>
      <c r="F62" s="286"/>
      <c r="G62" s="286"/>
      <c r="H62" s="286"/>
      <c r="I62" s="286"/>
      <c r="J62" s="286"/>
      <c r="K62" s="286"/>
      <c r="L62" s="286"/>
      <c r="M62" s="286"/>
      <c r="N62" s="286"/>
      <c r="O62" s="286"/>
      <c r="P62" s="286"/>
      <c r="Q62" s="286"/>
      <c r="R62" s="286"/>
      <c r="S62" s="286"/>
      <c r="T62" s="286"/>
      <c r="U62" s="286"/>
      <c r="V62" s="286"/>
      <c r="W62" s="286"/>
      <c r="X62" s="286"/>
      <c r="Y62" s="286"/>
      <c r="Z62" s="286"/>
      <c r="AA62" s="286"/>
      <c r="AB62" s="254"/>
      <c r="AC62" s="285"/>
      <c r="AD62" s="285"/>
      <c r="AE62" s="253"/>
      <c r="AF62" s="253"/>
      <c r="AG62" s="287"/>
    </row>
    <row r="63" spans="1:33">
      <c r="A63" s="250" t="s">
        <v>571</v>
      </c>
      <c r="B63" t="s">
        <v>576</v>
      </c>
      <c r="C63" s="253"/>
      <c r="D63" s="253"/>
      <c r="E63" s="262"/>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54"/>
      <c r="AD63" s="285"/>
      <c r="AE63" s="253"/>
      <c r="AF63" s="253"/>
      <c r="AG63" s="287"/>
    </row>
    <row r="64" spans="1:33">
      <c r="A64" s="250" t="s">
        <v>571</v>
      </c>
      <c r="B64" t="s">
        <v>577</v>
      </c>
      <c r="C64" s="253"/>
      <c r="D64" s="253"/>
      <c r="E64" s="262"/>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54"/>
      <c r="AE64" s="253"/>
      <c r="AF64" s="253"/>
      <c r="AG64" s="287"/>
    </row>
    <row r="65" spans="1:33">
      <c r="A65" s="255"/>
      <c r="B65" s="256" t="s">
        <v>235</v>
      </c>
      <c r="C65" s="263"/>
      <c r="D65" s="263"/>
      <c r="E65" s="263"/>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63"/>
      <c r="AF65" s="263"/>
      <c r="AG65" s="263"/>
    </row>
    <row r="66" spans="1:33">
      <c r="C66" s="265"/>
    </row>
    <row r="68" spans="1:33" s="266" customFormat="1">
      <c r="A68" s="244"/>
      <c r="B68" s="26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row>
    <row r="69" spans="1:33">
      <c r="B69" s="245" t="s">
        <v>580</v>
      </c>
      <c r="K69" s="283" t="s">
        <v>56</v>
      </c>
    </row>
    <row r="70" spans="1:33" ht="25.5">
      <c r="A70" s="246"/>
      <c r="B70" s="247" t="s">
        <v>543</v>
      </c>
      <c r="C70" s="1057" t="s">
        <v>579</v>
      </c>
      <c r="D70" s="1057" t="s">
        <v>545</v>
      </c>
      <c r="E70" s="1057" t="s">
        <v>546</v>
      </c>
      <c r="F70" s="1054" t="s">
        <v>547</v>
      </c>
      <c r="G70" s="1055"/>
      <c r="H70" s="1055"/>
      <c r="I70" s="1055"/>
      <c r="J70" s="1055"/>
      <c r="K70" s="1055"/>
      <c r="L70" s="1055"/>
      <c r="M70" s="1055"/>
      <c r="N70" s="1055"/>
      <c r="O70" s="1055"/>
      <c r="P70" s="1055"/>
      <c r="Q70" s="1055"/>
      <c r="R70" s="1055"/>
      <c r="S70" s="1055"/>
      <c r="T70" s="1055"/>
      <c r="U70" s="1055"/>
      <c r="V70" s="1055"/>
      <c r="W70" s="1055"/>
      <c r="X70" s="1055"/>
      <c r="Y70" s="1055"/>
      <c r="Z70" s="1055"/>
      <c r="AA70" s="1055"/>
      <c r="AB70" s="1055"/>
      <c r="AC70" s="1055"/>
      <c r="AD70" s="1056"/>
      <c r="AE70" s="284" t="s">
        <v>548</v>
      </c>
      <c r="AF70" s="284" t="s">
        <v>549</v>
      </c>
      <c r="AG70" s="284" t="s">
        <v>550</v>
      </c>
    </row>
    <row r="71" spans="1:33">
      <c r="A71" s="246"/>
      <c r="B71" s="247"/>
      <c r="C71" s="1058"/>
      <c r="D71" s="1058"/>
      <c r="E71" s="1058"/>
      <c r="F71" s="249" t="s">
        <v>551</v>
      </c>
      <c r="G71" s="249" t="s">
        <v>552</v>
      </c>
      <c r="H71" s="249" t="s">
        <v>553</v>
      </c>
      <c r="I71" s="249" t="s">
        <v>554</v>
      </c>
      <c r="J71" s="249" t="s">
        <v>555</v>
      </c>
      <c r="K71" s="249" t="s">
        <v>556</v>
      </c>
      <c r="L71" s="249" t="s">
        <v>557</v>
      </c>
      <c r="M71" s="249" t="s">
        <v>558</v>
      </c>
      <c r="N71" s="249" t="s">
        <v>559</v>
      </c>
      <c r="O71" s="249" t="s">
        <v>560</v>
      </c>
      <c r="P71" s="249" t="s">
        <v>561</v>
      </c>
      <c r="Q71" s="249" t="s">
        <v>562</v>
      </c>
      <c r="R71" s="249" t="s">
        <v>563</v>
      </c>
      <c r="S71" s="249" t="s">
        <v>564</v>
      </c>
      <c r="T71" s="249" t="s">
        <v>565</v>
      </c>
      <c r="U71" s="249" t="s">
        <v>566</v>
      </c>
      <c r="V71" s="249" t="s">
        <v>567</v>
      </c>
      <c r="W71" s="249" t="s">
        <v>568</v>
      </c>
      <c r="X71" s="249" t="s">
        <v>569</v>
      </c>
      <c r="Y71" s="249" t="s">
        <v>60</v>
      </c>
      <c r="Z71" s="249" t="s">
        <v>70</v>
      </c>
      <c r="AA71" s="249" t="s">
        <v>71</v>
      </c>
      <c r="AB71" s="249" t="s">
        <v>72</v>
      </c>
      <c r="AC71" s="249" t="s">
        <v>73</v>
      </c>
      <c r="AD71" s="249" t="s">
        <v>74</v>
      </c>
      <c r="AE71" s="284"/>
      <c r="AF71" s="284"/>
      <c r="AG71" s="284"/>
    </row>
    <row r="72" spans="1:33">
      <c r="A72" s="250" t="s">
        <v>570</v>
      </c>
      <c r="B72" s="251">
        <v>2005</v>
      </c>
      <c r="C72" s="267"/>
      <c r="D72" s="267"/>
      <c r="E72" s="261"/>
      <c r="F72" s="253"/>
      <c r="G72" s="253"/>
      <c r="H72" s="253"/>
      <c r="I72" s="253"/>
      <c r="J72" s="253"/>
      <c r="K72" s="285"/>
      <c r="L72" s="285"/>
      <c r="M72" s="285"/>
      <c r="N72" s="285"/>
      <c r="O72" s="285"/>
      <c r="P72" s="285"/>
      <c r="Q72" s="285"/>
      <c r="R72" s="285"/>
      <c r="S72" s="285"/>
      <c r="T72" s="285"/>
      <c r="U72" s="285"/>
      <c r="V72" s="285"/>
      <c r="W72" s="285"/>
      <c r="X72" s="285"/>
      <c r="Y72" s="285"/>
      <c r="Z72" s="285"/>
      <c r="AA72" s="285"/>
      <c r="AB72" s="285"/>
      <c r="AC72" s="285"/>
      <c r="AD72" s="285"/>
      <c r="AE72" s="287"/>
      <c r="AF72" s="287"/>
      <c r="AG72" s="287"/>
    </row>
    <row r="73" spans="1:33">
      <c r="A73" s="250" t="s">
        <v>571</v>
      </c>
      <c r="B73" s="251" t="s">
        <v>551</v>
      </c>
      <c r="C73" s="267"/>
      <c r="D73" s="267"/>
      <c r="E73" s="261"/>
      <c r="F73" s="254"/>
      <c r="G73" s="285"/>
      <c r="H73" s="285"/>
      <c r="I73" s="285"/>
      <c r="J73" s="285"/>
      <c r="K73" s="285"/>
      <c r="L73" s="285"/>
      <c r="M73" s="285"/>
      <c r="N73" s="285"/>
      <c r="O73" s="285"/>
      <c r="P73" s="285"/>
      <c r="Q73" s="285"/>
      <c r="R73" s="285"/>
      <c r="S73" s="285"/>
      <c r="T73" s="285"/>
      <c r="U73" s="285"/>
      <c r="V73" s="285"/>
      <c r="W73" s="285"/>
      <c r="X73" s="285"/>
      <c r="Y73" s="285"/>
      <c r="Z73" s="285"/>
      <c r="AA73" s="285"/>
      <c r="AB73" s="285"/>
      <c r="AC73" s="285"/>
      <c r="AD73" s="285"/>
      <c r="AE73" s="287"/>
      <c r="AF73" s="287"/>
      <c r="AG73" s="287"/>
    </row>
    <row r="74" spans="1:33">
      <c r="A74" s="250" t="s">
        <v>571</v>
      </c>
      <c r="B74" s="251" t="s">
        <v>552</v>
      </c>
      <c r="C74" s="267"/>
      <c r="D74" s="267"/>
      <c r="E74" s="261"/>
      <c r="F74" s="286"/>
      <c r="G74" s="254"/>
      <c r="H74" s="285"/>
      <c r="I74" s="285"/>
      <c r="J74" s="285"/>
      <c r="K74" s="285"/>
      <c r="L74" s="285"/>
      <c r="M74" s="285"/>
      <c r="N74" s="285"/>
      <c r="O74" s="285"/>
      <c r="P74" s="285"/>
      <c r="Q74" s="285"/>
      <c r="R74" s="285"/>
      <c r="S74" s="285"/>
      <c r="T74" s="285"/>
      <c r="U74" s="285"/>
      <c r="V74" s="285"/>
      <c r="W74" s="285"/>
      <c r="X74" s="285"/>
      <c r="Y74" s="285"/>
      <c r="Z74" s="285"/>
      <c r="AA74" s="285"/>
      <c r="AB74" s="285"/>
      <c r="AC74" s="285"/>
      <c r="AD74" s="285"/>
      <c r="AE74" s="287"/>
      <c r="AF74" s="287"/>
      <c r="AG74" s="287"/>
    </row>
    <row r="75" spans="1:33">
      <c r="A75" s="250" t="s">
        <v>571</v>
      </c>
      <c r="B75" s="251" t="s">
        <v>553</v>
      </c>
      <c r="C75" s="267"/>
      <c r="D75" s="267"/>
      <c r="E75" s="261"/>
      <c r="F75" s="286"/>
      <c r="G75" s="286"/>
      <c r="H75" s="254"/>
      <c r="I75" s="285"/>
      <c r="J75" s="285"/>
      <c r="K75" s="285"/>
      <c r="L75" s="285"/>
      <c r="M75" s="285"/>
      <c r="N75" s="285"/>
      <c r="O75" s="285"/>
      <c r="P75" s="285"/>
      <c r="Q75" s="285"/>
      <c r="R75" s="285"/>
      <c r="S75" s="285"/>
      <c r="T75" s="285"/>
      <c r="U75" s="285"/>
      <c r="V75" s="285"/>
      <c r="W75" s="285"/>
      <c r="X75" s="285"/>
      <c r="Y75" s="285"/>
      <c r="Z75" s="285"/>
      <c r="AA75" s="285"/>
      <c r="AB75" s="285"/>
      <c r="AC75" s="285"/>
      <c r="AD75" s="285"/>
      <c r="AE75" s="287"/>
      <c r="AF75" s="287"/>
      <c r="AG75" s="287"/>
    </row>
    <row r="76" spans="1:33">
      <c r="A76" s="250" t="s">
        <v>571</v>
      </c>
      <c r="B76" s="251" t="s">
        <v>554</v>
      </c>
      <c r="C76" s="267"/>
      <c r="D76" s="267"/>
      <c r="E76" s="261"/>
      <c r="F76" s="286"/>
      <c r="G76" s="286"/>
      <c r="H76" s="286"/>
      <c r="I76" s="254"/>
      <c r="J76" s="285"/>
      <c r="K76" s="285"/>
      <c r="L76" s="285"/>
      <c r="M76" s="285"/>
      <c r="N76" s="285"/>
      <c r="O76" s="285"/>
      <c r="P76" s="285"/>
      <c r="Q76" s="285"/>
      <c r="R76" s="285"/>
      <c r="S76" s="285"/>
      <c r="T76" s="285"/>
      <c r="U76" s="285"/>
      <c r="V76" s="285"/>
      <c r="W76" s="285"/>
      <c r="X76" s="285"/>
      <c r="Y76" s="285"/>
      <c r="Z76" s="285"/>
      <c r="AA76" s="285"/>
      <c r="AB76" s="285"/>
      <c r="AC76" s="285"/>
      <c r="AD76" s="285"/>
      <c r="AE76" s="287"/>
      <c r="AF76" s="287"/>
      <c r="AG76" s="287"/>
    </row>
    <row r="77" spans="1:33">
      <c r="A77" s="250" t="s">
        <v>571</v>
      </c>
      <c r="B77" s="251" t="s">
        <v>555</v>
      </c>
      <c r="C77" s="267"/>
      <c r="D77" s="267"/>
      <c r="E77" s="261"/>
      <c r="F77" s="286"/>
      <c r="G77" s="286"/>
      <c r="H77" s="286"/>
      <c r="I77" s="286"/>
      <c r="J77" s="254"/>
      <c r="K77" s="285"/>
      <c r="L77" s="285"/>
      <c r="M77" s="285"/>
      <c r="N77" s="285"/>
      <c r="O77" s="285"/>
      <c r="P77" s="285"/>
      <c r="Q77" s="285"/>
      <c r="R77" s="285"/>
      <c r="S77" s="285"/>
      <c r="T77" s="285"/>
      <c r="U77" s="285"/>
      <c r="V77" s="285"/>
      <c r="W77" s="285"/>
      <c r="X77" s="285"/>
      <c r="Y77" s="285"/>
      <c r="Z77" s="285"/>
      <c r="AA77" s="285"/>
      <c r="AB77" s="285"/>
      <c r="AC77" s="285"/>
      <c r="AD77" s="285"/>
      <c r="AE77" s="287"/>
      <c r="AF77" s="287"/>
      <c r="AG77" s="287"/>
    </row>
    <row r="78" spans="1:33">
      <c r="A78" s="250" t="s">
        <v>571</v>
      </c>
      <c r="B78" s="251" t="s">
        <v>556</v>
      </c>
      <c r="C78" s="267"/>
      <c r="D78" s="267"/>
      <c r="E78" s="261"/>
      <c r="F78" s="286"/>
      <c r="G78" s="286"/>
      <c r="H78" s="286"/>
      <c r="I78" s="286"/>
      <c r="J78" s="286"/>
      <c r="K78" s="254"/>
      <c r="L78" s="285"/>
      <c r="M78" s="285"/>
      <c r="N78" s="285"/>
      <c r="O78" s="285"/>
      <c r="P78" s="285"/>
      <c r="Q78" s="285"/>
      <c r="R78" s="285"/>
      <c r="S78" s="285"/>
      <c r="T78" s="285"/>
      <c r="U78" s="285"/>
      <c r="V78" s="285"/>
      <c r="W78" s="285"/>
      <c r="X78" s="285"/>
      <c r="Y78" s="285"/>
      <c r="Z78" s="285"/>
      <c r="AA78" s="285"/>
      <c r="AB78" s="285"/>
      <c r="AC78" s="285"/>
      <c r="AD78" s="285"/>
      <c r="AE78" s="287"/>
      <c r="AF78" s="287"/>
      <c r="AG78" s="287"/>
    </row>
    <row r="79" spans="1:33">
      <c r="A79" s="250" t="s">
        <v>571</v>
      </c>
      <c r="B79" s="251" t="s">
        <v>557</v>
      </c>
      <c r="C79" s="267"/>
      <c r="D79" s="267"/>
      <c r="E79" s="261"/>
      <c r="F79" s="286"/>
      <c r="G79" s="286"/>
      <c r="H79" s="286"/>
      <c r="I79" s="286"/>
      <c r="J79" s="286"/>
      <c r="K79" s="286"/>
      <c r="L79" s="254"/>
      <c r="M79" s="285"/>
      <c r="N79" s="285"/>
      <c r="O79" s="285"/>
      <c r="P79" s="285"/>
      <c r="Q79" s="285"/>
      <c r="R79" s="285"/>
      <c r="S79" s="285"/>
      <c r="T79" s="285"/>
      <c r="U79" s="285"/>
      <c r="V79" s="285"/>
      <c r="W79" s="285"/>
      <c r="X79" s="285"/>
      <c r="Y79" s="285"/>
      <c r="Z79" s="285"/>
      <c r="AA79" s="285"/>
      <c r="AB79" s="285"/>
      <c r="AC79" s="285"/>
      <c r="AD79" s="285"/>
      <c r="AE79" s="287"/>
      <c r="AF79" s="287"/>
      <c r="AG79" s="287"/>
    </row>
    <row r="80" spans="1:33">
      <c r="A80" s="250" t="s">
        <v>571</v>
      </c>
      <c r="B80" s="251" t="s">
        <v>558</v>
      </c>
      <c r="C80" s="267"/>
      <c r="D80" s="267"/>
      <c r="E80" s="261"/>
      <c r="F80" s="286"/>
      <c r="G80" s="286"/>
      <c r="H80" s="286"/>
      <c r="I80" s="286"/>
      <c r="J80" s="286"/>
      <c r="K80" s="286"/>
      <c r="L80" s="286"/>
      <c r="M80" s="254"/>
      <c r="N80" s="285"/>
      <c r="O80" s="285"/>
      <c r="P80" s="285"/>
      <c r="Q80" s="285"/>
      <c r="R80" s="285"/>
      <c r="S80" s="285"/>
      <c r="T80" s="285"/>
      <c r="U80" s="285"/>
      <c r="V80" s="285"/>
      <c r="W80" s="285"/>
      <c r="X80" s="285"/>
      <c r="Y80" s="285"/>
      <c r="Z80" s="285"/>
      <c r="AA80" s="285"/>
      <c r="AB80" s="285"/>
      <c r="AC80" s="285"/>
      <c r="AD80" s="285"/>
      <c r="AE80" s="287"/>
      <c r="AF80" s="287"/>
      <c r="AG80" s="287"/>
    </row>
    <row r="81" spans="1:33">
      <c r="A81" s="250" t="s">
        <v>571</v>
      </c>
      <c r="B81" s="251" t="s">
        <v>559</v>
      </c>
      <c r="C81" s="267"/>
      <c r="D81" s="267"/>
      <c r="E81" s="261"/>
      <c r="F81" s="286"/>
      <c r="G81" s="286"/>
      <c r="H81" s="286"/>
      <c r="I81" s="286"/>
      <c r="J81" s="286"/>
      <c r="K81" s="286"/>
      <c r="L81" s="286"/>
      <c r="M81" s="286"/>
      <c r="N81" s="254"/>
      <c r="O81" s="285"/>
      <c r="P81" s="285"/>
      <c r="Q81" s="285"/>
      <c r="R81" s="285"/>
      <c r="S81" s="285"/>
      <c r="T81" s="285"/>
      <c r="U81" s="285"/>
      <c r="V81" s="285"/>
      <c r="W81" s="285"/>
      <c r="X81" s="285"/>
      <c r="Y81" s="285"/>
      <c r="Z81" s="285"/>
      <c r="AA81" s="285"/>
      <c r="AB81" s="285"/>
      <c r="AC81" s="285"/>
      <c r="AD81" s="285"/>
      <c r="AE81" s="287"/>
      <c r="AF81" s="287"/>
      <c r="AG81" s="287"/>
    </row>
    <row r="82" spans="1:33">
      <c r="A82" s="250" t="s">
        <v>571</v>
      </c>
      <c r="B82" s="251" t="s">
        <v>560</v>
      </c>
      <c r="C82" s="267"/>
      <c r="D82" s="267"/>
      <c r="E82" s="261"/>
      <c r="F82" s="286"/>
      <c r="G82" s="286"/>
      <c r="H82" s="286"/>
      <c r="I82" s="286"/>
      <c r="J82" s="286"/>
      <c r="K82" s="286"/>
      <c r="L82" s="286"/>
      <c r="M82" s="286"/>
      <c r="N82" s="286"/>
      <c r="O82" s="254"/>
      <c r="P82" s="285"/>
      <c r="Q82" s="285"/>
      <c r="R82" s="285"/>
      <c r="S82" s="285"/>
      <c r="T82" s="285"/>
      <c r="U82" s="285"/>
      <c r="V82" s="285"/>
      <c r="W82" s="285"/>
      <c r="X82" s="285"/>
      <c r="Y82" s="285"/>
      <c r="Z82" s="285"/>
      <c r="AA82" s="285"/>
      <c r="AB82" s="285"/>
      <c r="AC82" s="285"/>
      <c r="AD82" s="285"/>
      <c r="AE82" s="287"/>
      <c r="AF82" s="287"/>
      <c r="AG82" s="287"/>
    </row>
    <row r="83" spans="1:33">
      <c r="A83" s="250" t="s">
        <v>571</v>
      </c>
      <c r="B83" s="251" t="s">
        <v>561</v>
      </c>
      <c r="C83" s="267"/>
      <c r="D83" s="267"/>
      <c r="E83" s="261"/>
      <c r="F83" s="286"/>
      <c r="G83" s="286"/>
      <c r="H83" s="286"/>
      <c r="I83" s="286"/>
      <c r="J83" s="286"/>
      <c r="K83" s="286"/>
      <c r="L83" s="286"/>
      <c r="M83" s="286"/>
      <c r="N83" s="286"/>
      <c r="O83" s="286"/>
      <c r="P83" s="254"/>
      <c r="Q83" s="285"/>
      <c r="R83" s="285"/>
      <c r="S83" s="285"/>
      <c r="T83" s="285"/>
      <c r="U83" s="285"/>
      <c r="V83" s="285"/>
      <c r="W83" s="285"/>
      <c r="X83" s="285"/>
      <c r="Y83" s="285"/>
      <c r="Z83" s="285"/>
      <c r="AA83" s="285"/>
      <c r="AB83" s="285"/>
      <c r="AC83" s="285"/>
      <c r="AD83" s="285"/>
      <c r="AE83" s="287"/>
      <c r="AF83" s="287"/>
      <c r="AG83" s="287"/>
    </row>
    <row r="84" spans="1:33">
      <c r="A84" s="250" t="s">
        <v>571</v>
      </c>
      <c r="B84" s="251" t="s">
        <v>562</v>
      </c>
      <c r="C84" s="267"/>
      <c r="D84" s="267"/>
      <c r="E84" s="261"/>
      <c r="F84" s="286"/>
      <c r="G84" s="286"/>
      <c r="H84" s="286"/>
      <c r="I84" s="286"/>
      <c r="J84" s="286"/>
      <c r="K84" s="286"/>
      <c r="L84" s="286"/>
      <c r="M84" s="286"/>
      <c r="N84" s="286"/>
      <c r="O84" s="286"/>
      <c r="P84" s="286"/>
      <c r="Q84" s="254"/>
      <c r="R84" s="285"/>
      <c r="S84" s="285"/>
      <c r="T84" s="285"/>
      <c r="U84" s="285"/>
      <c r="V84" s="285"/>
      <c r="W84" s="285"/>
      <c r="X84" s="285"/>
      <c r="Y84" s="285"/>
      <c r="Z84" s="285"/>
      <c r="AA84" s="285"/>
      <c r="AB84" s="285"/>
      <c r="AC84" s="285"/>
      <c r="AD84" s="285"/>
      <c r="AE84" s="287"/>
      <c r="AF84" s="287"/>
      <c r="AG84" s="287"/>
    </row>
    <row r="85" spans="1:33">
      <c r="A85" s="250" t="s">
        <v>571</v>
      </c>
      <c r="B85" s="251" t="s">
        <v>563</v>
      </c>
      <c r="C85" s="267"/>
      <c r="D85" s="267"/>
      <c r="E85" s="261"/>
      <c r="F85" s="286"/>
      <c r="G85" s="286"/>
      <c r="H85" s="286"/>
      <c r="I85" s="286"/>
      <c r="J85" s="286"/>
      <c r="K85" s="286"/>
      <c r="L85" s="286"/>
      <c r="M85" s="286"/>
      <c r="N85" s="286"/>
      <c r="O85" s="286"/>
      <c r="P85" s="286"/>
      <c r="Q85" s="286"/>
      <c r="R85" s="254"/>
      <c r="S85" s="285"/>
      <c r="T85" s="285"/>
      <c r="U85" s="285"/>
      <c r="V85" s="285"/>
      <c r="W85" s="285"/>
      <c r="X85" s="285"/>
      <c r="Y85" s="285"/>
      <c r="Z85" s="285"/>
      <c r="AA85" s="285"/>
      <c r="AB85" s="285"/>
      <c r="AC85" s="285"/>
      <c r="AD85" s="285"/>
      <c r="AE85" s="287"/>
      <c r="AF85" s="287"/>
      <c r="AG85" s="287"/>
    </row>
    <row r="86" spans="1:33">
      <c r="A86" s="250" t="s">
        <v>571</v>
      </c>
      <c r="B86" s="251" t="s">
        <v>564</v>
      </c>
      <c r="C86" s="267"/>
      <c r="D86" s="267"/>
      <c r="E86" s="261"/>
      <c r="F86" s="286"/>
      <c r="G86" s="286"/>
      <c r="H86" s="286"/>
      <c r="I86" s="286"/>
      <c r="J86" s="286"/>
      <c r="K86" s="286"/>
      <c r="L86" s="286"/>
      <c r="M86" s="286"/>
      <c r="N86" s="286"/>
      <c r="O86" s="286"/>
      <c r="P86" s="286"/>
      <c r="Q86" s="286"/>
      <c r="R86" s="286"/>
      <c r="S86" s="254"/>
      <c r="T86" s="285"/>
      <c r="U86" s="285"/>
      <c r="V86" s="285"/>
      <c r="W86" s="285"/>
      <c r="X86" s="285"/>
      <c r="Y86" s="285"/>
      <c r="Z86" s="285"/>
      <c r="AA86" s="285"/>
      <c r="AB86" s="285"/>
      <c r="AC86" s="285"/>
      <c r="AD86" s="285"/>
      <c r="AE86" s="287"/>
      <c r="AF86" s="287"/>
      <c r="AG86" s="287"/>
    </row>
    <row r="87" spans="1:33">
      <c r="A87" s="250" t="s">
        <v>571</v>
      </c>
      <c r="B87" s="251" t="s">
        <v>565</v>
      </c>
      <c r="C87" s="253"/>
      <c r="D87" s="250"/>
      <c r="E87" s="261"/>
      <c r="F87" s="286"/>
      <c r="G87" s="286"/>
      <c r="H87" s="286"/>
      <c r="I87" s="286"/>
      <c r="J87" s="286"/>
      <c r="K87" s="286"/>
      <c r="L87" s="286"/>
      <c r="M87" s="286"/>
      <c r="N87" s="286"/>
      <c r="O87" s="286"/>
      <c r="P87" s="286"/>
      <c r="Q87" s="286"/>
      <c r="R87" s="286"/>
      <c r="S87" s="286"/>
      <c r="T87" s="254"/>
      <c r="U87" s="285"/>
      <c r="V87" s="285"/>
      <c r="W87" s="285"/>
      <c r="X87" s="285"/>
      <c r="Y87" s="285"/>
      <c r="Z87" s="285"/>
      <c r="AA87" s="285"/>
      <c r="AB87" s="285"/>
      <c r="AC87" s="285"/>
      <c r="AD87" s="285"/>
      <c r="AE87" s="287"/>
      <c r="AF87" s="287"/>
      <c r="AG87" s="287"/>
    </row>
    <row r="88" spans="1:33">
      <c r="A88" s="250" t="s">
        <v>571</v>
      </c>
      <c r="B88" s="251" t="s">
        <v>566</v>
      </c>
      <c r="C88" s="253"/>
      <c r="D88" s="250"/>
      <c r="E88" s="261"/>
      <c r="F88" s="286"/>
      <c r="G88" s="286"/>
      <c r="H88" s="286"/>
      <c r="I88" s="286"/>
      <c r="J88" s="286"/>
      <c r="K88" s="286"/>
      <c r="L88" s="286"/>
      <c r="M88" s="286"/>
      <c r="N88" s="286"/>
      <c r="O88" s="286"/>
      <c r="P88" s="286"/>
      <c r="Q88" s="286"/>
      <c r="R88" s="286"/>
      <c r="S88" s="286"/>
      <c r="T88" s="286"/>
      <c r="U88" s="254"/>
      <c r="V88" s="285"/>
      <c r="W88" s="285"/>
      <c r="X88" s="285"/>
      <c r="Y88" s="285"/>
      <c r="Z88" s="285"/>
      <c r="AA88" s="285"/>
      <c r="AB88" s="285"/>
      <c r="AC88" s="285"/>
      <c r="AD88" s="285"/>
      <c r="AE88" s="287"/>
      <c r="AF88" s="287"/>
      <c r="AG88" s="287"/>
    </row>
    <row r="89" spans="1:33">
      <c r="A89" s="250" t="s">
        <v>571</v>
      </c>
      <c r="B89" s="251" t="s">
        <v>567</v>
      </c>
      <c r="C89" s="253"/>
      <c r="D89" s="253"/>
      <c r="E89" s="261"/>
      <c r="F89" s="286"/>
      <c r="G89" s="286"/>
      <c r="H89" s="286"/>
      <c r="I89" s="286"/>
      <c r="J89" s="286"/>
      <c r="K89" s="286"/>
      <c r="L89" s="286"/>
      <c r="M89" s="286"/>
      <c r="N89" s="286"/>
      <c r="O89" s="286"/>
      <c r="P89" s="286"/>
      <c r="Q89" s="286"/>
      <c r="R89" s="286"/>
      <c r="S89" s="286"/>
      <c r="T89" s="286"/>
      <c r="U89" s="286"/>
      <c r="V89" s="254"/>
      <c r="W89" s="285"/>
      <c r="X89" s="285"/>
      <c r="Y89" s="285"/>
      <c r="Z89" s="285"/>
      <c r="AA89" s="285"/>
      <c r="AB89" s="285"/>
      <c r="AC89" s="285"/>
      <c r="AD89" s="285"/>
      <c r="AE89" s="287"/>
      <c r="AF89" s="287"/>
      <c r="AG89" s="287"/>
    </row>
    <row r="90" spans="1:33">
      <c r="A90" s="250" t="s">
        <v>571</v>
      </c>
      <c r="B90" s="251" t="s">
        <v>568</v>
      </c>
      <c r="C90" s="253"/>
      <c r="D90" s="253"/>
      <c r="E90" s="261"/>
      <c r="F90" s="286"/>
      <c r="G90" s="286"/>
      <c r="H90" s="286"/>
      <c r="I90" s="286"/>
      <c r="J90" s="286"/>
      <c r="K90" s="286"/>
      <c r="L90" s="286"/>
      <c r="M90" s="286"/>
      <c r="N90" s="286"/>
      <c r="O90" s="286"/>
      <c r="P90" s="286"/>
      <c r="Q90" s="286"/>
      <c r="R90" s="286"/>
      <c r="S90" s="286"/>
      <c r="T90" s="286"/>
      <c r="U90" s="286"/>
      <c r="V90" s="286"/>
      <c r="W90" s="254"/>
      <c r="X90" s="285"/>
      <c r="Y90" s="285"/>
      <c r="Z90" s="285"/>
      <c r="AA90" s="285"/>
      <c r="AB90" s="285"/>
      <c r="AC90" s="285"/>
      <c r="AD90" s="285"/>
      <c r="AE90" s="287"/>
      <c r="AF90" s="287"/>
      <c r="AG90" s="287"/>
    </row>
    <row r="91" spans="1:33">
      <c r="A91" s="250" t="s">
        <v>571</v>
      </c>
      <c r="B91" s="251" t="s">
        <v>569</v>
      </c>
      <c r="C91" s="253"/>
      <c r="D91" s="253"/>
      <c r="E91" s="261"/>
      <c r="F91" s="286"/>
      <c r="G91" s="286"/>
      <c r="H91" s="286"/>
      <c r="I91" s="286"/>
      <c r="J91" s="286"/>
      <c r="K91" s="286"/>
      <c r="L91" s="286"/>
      <c r="M91" s="286"/>
      <c r="N91" s="286"/>
      <c r="O91" s="286"/>
      <c r="P91" s="286"/>
      <c r="Q91" s="286"/>
      <c r="R91" s="286"/>
      <c r="S91" s="286"/>
      <c r="T91" s="286"/>
      <c r="U91" s="286"/>
      <c r="V91" s="286"/>
      <c r="W91" s="286"/>
      <c r="X91" s="254"/>
      <c r="Y91" s="285"/>
      <c r="Z91" s="285"/>
      <c r="AA91" s="285"/>
      <c r="AB91" s="285"/>
      <c r="AC91" s="285"/>
      <c r="AD91" s="285"/>
      <c r="AE91" s="287"/>
      <c r="AF91" s="287"/>
      <c r="AG91" s="287"/>
    </row>
    <row r="92" spans="1:33">
      <c r="A92" s="250" t="s">
        <v>571</v>
      </c>
      <c r="B92" s="251" t="s">
        <v>572</v>
      </c>
      <c r="C92" s="253"/>
      <c r="D92" s="253"/>
      <c r="E92" s="262"/>
      <c r="F92" s="286"/>
      <c r="G92" s="286"/>
      <c r="H92" s="286"/>
      <c r="I92" s="286"/>
      <c r="J92" s="286"/>
      <c r="K92" s="286"/>
      <c r="L92" s="286"/>
      <c r="M92" s="286"/>
      <c r="N92" s="286"/>
      <c r="O92" s="286"/>
      <c r="P92" s="286"/>
      <c r="Q92" s="286"/>
      <c r="R92" s="286"/>
      <c r="S92" s="286"/>
      <c r="T92" s="286"/>
      <c r="U92" s="286"/>
      <c r="V92" s="286"/>
      <c r="W92" s="286"/>
      <c r="X92" s="286"/>
      <c r="Y92" s="254"/>
      <c r="Z92" s="285"/>
      <c r="AA92" s="285"/>
      <c r="AB92" s="285"/>
      <c r="AC92" s="285"/>
      <c r="AD92" s="285"/>
      <c r="AE92" s="287"/>
      <c r="AF92" s="287"/>
      <c r="AG92" s="287"/>
    </row>
    <row r="93" spans="1:33">
      <c r="A93" s="250" t="s">
        <v>571</v>
      </c>
      <c r="B93" t="s">
        <v>573</v>
      </c>
      <c r="C93" s="253"/>
      <c r="D93" s="253"/>
      <c r="E93" s="262"/>
      <c r="F93" s="286"/>
      <c r="G93" s="286"/>
      <c r="H93" s="286"/>
      <c r="I93" s="286"/>
      <c r="J93" s="286"/>
      <c r="K93" s="286"/>
      <c r="L93" s="286"/>
      <c r="M93" s="286"/>
      <c r="N93" s="286"/>
      <c r="O93" s="286"/>
      <c r="P93" s="286"/>
      <c r="Q93" s="286"/>
      <c r="R93" s="286"/>
      <c r="S93" s="286"/>
      <c r="T93" s="286"/>
      <c r="U93" s="286"/>
      <c r="V93" s="286"/>
      <c r="W93" s="286"/>
      <c r="X93" s="286"/>
      <c r="Y93" s="286"/>
      <c r="Z93" s="254"/>
      <c r="AA93" s="285"/>
      <c r="AB93" s="285"/>
      <c r="AC93" s="285"/>
      <c r="AD93" s="285"/>
      <c r="AE93" s="287"/>
      <c r="AF93" s="287"/>
      <c r="AG93" s="287"/>
    </row>
    <row r="94" spans="1:33">
      <c r="A94" s="250" t="s">
        <v>571</v>
      </c>
      <c r="B94" t="s">
        <v>574</v>
      </c>
      <c r="C94" s="253"/>
      <c r="D94" s="253"/>
      <c r="E94" s="262"/>
      <c r="F94" s="286"/>
      <c r="G94" s="286"/>
      <c r="H94" s="286"/>
      <c r="I94" s="286"/>
      <c r="J94" s="286"/>
      <c r="K94" s="286"/>
      <c r="L94" s="286"/>
      <c r="M94" s="286"/>
      <c r="N94" s="286"/>
      <c r="O94" s="286"/>
      <c r="P94" s="286"/>
      <c r="Q94" s="286"/>
      <c r="R94" s="286"/>
      <c r="S94" s="286"/>
      <c r="T94" s="286"/>
      <c r="U94" s="286"/>
      <c r="V94" s="286"/>
      <c r="W94" s="286"/>
      <c r="X94" s="286"/>
      <c r="Y94" s="286"/>
      <c r="Z94" s="286"/>
      <c r="AA94" s="254"/>
      <c r="AB94" s="285"/>
      <c r="AC94" s="285"/>
      <c r="AD94" s="285"/>
      <c r="AE94" s="287"/>
      <c r="AF94" s="287"/>
      <c r="AG94" s="287"/>
    </row>
    <row r="95" spans="1:33">
      <c r="A95" s="250" t="s">
        <v>571</v>
      </c>
      <c r="B95" t="s">
        <v>575</v>
      </c>
      <c r="C95" s="253"/>
      <c r="D95" s="253"/>
      <c r="E95" s="262"/>
      <c r="F95" s="286"/>
      <c r="G95" s="286"/>
      <c r="H95" s="286"/>
      <c r="I95" s="286"/>
      <c r="J95" s="286"/>
      <c r="K95" s="286"/>
      <c r="L95" s="286"/>
      <c r="M95" s="286"/>
      <c r="N95" s="286"/>
      <c r="O95" s="286"/>
      <c r="P95" s="286"/>
      <c r="Q95" s="286"/>
      <c r="R95" s="286"/>
      <c r="S95" s="286"/>
      <c r="T95" s="286"/>
      <c r="U95" s="286"/>
      <c r="V95" s="286"/>
      <c r="W95" s="286"/>
      <c r="X95" s="286"/>
      <c r="Y95" s="286"/>
      <c r="Z95" s="286"/>
      <c r="AA95" s="286"/>
      <c r="AB95" s="254"/>
      <c r="AC95" s="285"/>
      <c r="AD95" s="285"/>
      <c r="AE95" s="287"/>
      <c r="AF95" s="287"/>
      <c r="AG95" s="287"/>
    </row>
    <row r="96" spans="1:33">
      <c r="A96" s="250" t="s">
        <v>571</v>
      </c>
      <c r="B96" t="s">
        <v>576</v>
      </c>
      <c r="C96" s="253"/>
      <c r="D96" s="253"/>
      <c r="E96" s="262"/>
      <c r="F96" s="286"/>
      <c r="G96" s="286"/>
      <c r="H96" s="286"/>
      <c r="I96" s="286"/>
      <c r="J96" s="286"/>
      <c r="K96" s="286"/>
      <c r="L96" s="286"/>
      <c r="M96" s="286"/>
      <c r="N96" s="286"/>
      <c r="O96" s="286"/>
      <c r="P96" s="286"/>
      <c r="Q96" s="286"/>
      <c r="R96" s="286"/>
      <c r="S96" s="286"/>
      <c r="T96" s="286"/>
      <c r="U96" s="286"/>
      <c r="V96" s="286"/>
      <c r="W96" s="286"/>
      <c r="X96" s="286"/>
      <c r="Y96" s="286"/>
      <c r="Z96" s="286"/>
      <c r="AA96" s="286"/>
      <c r="AB96" s="286"/>
      <c r="AC96" s="254"/>
      <c r="AD96" s="285"/>
      <c r="AE96" s="287"/>
      <c r="AF96" s="287"/>
      <c r="AG96" s="287"/>
    </row>
    <row r="97" spans="1:33">
      <c r="A97" s="250" t="s">
        <v>571</v>
      </c>
      <c r="B97" t="s">
        <v>577</v>
      </c>
      <c r="C97" s="253"/>
      <c r="D97" s="253"/>
      <c r="E97" s="262"/>
      <c r="F97" s="286"/>
      <c r="G97" s="286"/>
      <c r="H97" s="286"/>
      <c r="I97" s="286"/>
      <c r="J97" s="286"/>
      <c r="K97" s="286"/>
      <c r="L97" s="286"/>
      <c r="M97" s="286"/>
      <c r="N97" s="286"/>
      <c r="O97" s="286"/>
      <c r="P97" s="286"/>
      <c r="Q97" s="286"/>
      <c r="R97" s="286"/>
      <c r="S97" s="286"/>
      <c r="T97" s="286"/>
      <c r="U97" s="286"/>
      <c r="V97" s="286"/>
      <c r="W97" s="286"/>
      <c r="X97" s="286"/>
      <c r="Y97" s="286"/>
      <c r="Z97" s="286"/>
      <c r="AA97" s="286"/>
      <c r="AB97" s="286"/>
      <c r="AC97" s="286"/>
      <c r="AD97" s="254"/>
      <c r="AE97" s="287"/>
      <c r="AF97" s="287"/>
      <c r="AG97" s="287"/>
    </row>
    <row r="98" spans="1:33">
      <c r="A98" s="255"/>
      <c r="B98" s="256" t="s">
        <v>235</v>
      </c>
      <c r="C98" s="257"/>
      <c r="D98" s="257"/>
      <c r="E98" s="263"/>
      <c r="F98" s="257"/>
      <c r="G98" s="257"/>
      <c r="H98" s="257"/>
      <c r="I98" s="257"/>
      <c r="J98" s="257"/>
      <c r="K98" s="257"/>
      <c r="L98" s="257"/>
      <c r="M98" s="257"/>
      <c r="N98" s="257"/>
      <c r="O98" s="257"/>
      <c r="P98" s="257"/>
      <c r="Q98" s="257"/>
      <c r="R98" s="257"/>
      <c r="S98" s="257"/>
      <c r="T98" s="257"/>
      <c r="U98" s="257"/>
      <c r="V98" s="257"/>
      <c r="W98" s="257"/>
      <c r="X98" s="257"/>
      <c r="Y98" s="257"/>
      <c r="Z98" s="257"/>
      <c r="AA98" s="257"/>
      <c r="AB98" s="257"/>
      <c r="AC98" s="257"/>
      <c r="AD98" s="257"/>
      <c r="AE98" s="257"/>
      <c r="AF98" s="257"/>
      <c r="AG98" s="257"/>
    </row>
    <row r="102" spans="1:33">
      <c r="B102" s="245" t="s">
        <v>581</v>
      </c>
      <c r="K102" s="283" t="s">
        <v>56</v>
      </c>
    </row>
    <row r="103" spans="1:33" ht="25.5">
      <c r="A103" s="246"/>
      <c r="B103" s="247" t="s">
        <v>543</v>
      </c>
      <c r="C103" s="1057" t="s">
        <v>579</v>
      </c>
      <c r="D103" s="1057" t="s">
        <v>545</v>
      </c>
      <c r="E103" s="1057" t="s">
        <v>546</v>
      </c>
      <c r="F103" s="1054" t="s">
        <v>547</v>
      </c>
      <c r="G103" s="1055"/>
      <c r="H103" s="1055"/>
      <c r="I103" s="1055"/>
      <c r="J103" s="1055"/>
      <c r="K103" s="1055"/>
      <c r="L103" s="1055"/>
      <c r="M103" s="1055"/>
      <c r="N103" s="1055"/>
      <c r="O103" s="1055"/>
      <c r="P103" s="1055"/>
      <c r="Q103" s="1055"/>
      <c r="R103" s="1055"/>
      <c r="S103" s="1055"/>
      <c r="T103" s="1055"/>
      <c r="U103" s="1055"/>
      <c r="V103" s="1055"/>
      <c r="W103" s="1055"/>
      <c r="X103" s="1055"/>
      <c r="Y103" s="1055"/>
      <c r="Z103" s="1055"/>
      <c r="AA103" s="1055"/>
      <c r="AB103" s="1055"/>
      <c r="AC103" s="1055"/>
      <c r="AD103" s="1056"/>
      <c r="AE103" s="284" t="s">
        <v>548</v>
      </c>
      <c r="AF103" s="284" t="s">
        <v>549</v>
      </c>
      <c r="AG103" s="284" t="s">
        <v>550</v>
      </c>
    </row>
    <row r="104" spans="1:33">
      <c r="A104" s="246"/>
      <c r="B104" s="247"/>
      <c r="C104" s="1058"/>
      <c r="D104" s="1058"/>
      <c r="E104" s="1058"/>
      <c r="F104" s="249" t="s">
        <v>551</v>
      </c>
      <c r="G104" s="249" t="s">
        <v>552</v>
      </c>
      <c r="H104" s="249" t="s">
        <v>553</v>
      </c>
      <c r="I104" s="249" t="s">
        <v>554</v>
      </c>
      <c r="J104" s="249" t="s">
        <v>555</v>
      </c>
      <c r="K104" s="249" t="s">
        <v>556</v>
      </c>
      <c r="L104" s="249" t="s">
        <v>557</v>
      </c>
      <c r="M104" s="249" t="s">
        <v>558</v>
      </c>
      <c r="N104" s="249" t="s">
        <v>559</v>
      </c>
      <c r="O104" s="249" t="s">
        <v>560</v>
      </c>
      <c r="P104" s="249" t="s">
        <v>561</v>
      </c>
      <c r="Q104" s="249" t="s">
        <v>562</v>
      </c>
      <c r="R104" s="249" t="s">
        <v>563</v>
      </c>
      <c r="S104" s="249" t="s">
        <v>564</v>
      </c>
      <c r="T104" s="249" t="s">
        <v>565</v>
      </c>
      <c r="U104" s="249" t="s">
        <v>566</v>
      </c>
      <c r="V104" s="249" t="s">
        <v>567</v>
      </c>
      <c r="W104" s="249" t="s">
        <v>568</v>
      </c>
      <c r="X104" s="249" t="s">
        <v>569</v>
      </c>
      <c r="Y104" s="249" t="s">
        <v>60</v>
      </c>
      <c r="Z104" s="249" t="s">
        <v>70</v>
      </c>
      <c r="AA104" s="249" t="s">
        <v>71</v>
      </c>
      <c r="AB104" s="249" t="s">
        <v>72</v>
      </c>
      <c r="AC104" s="249" t="s">
        <v>73</v>
      </c>
      <c r="AD104" s="249" t="s">
        <v>74</v>
      </c>
      <c r="AE104" s="284"/>
      <c r="AF104" s="284"/>
      <c r="AG104" s="284"/>
    </row>
    <row r="105" spans="1:33">
      <c r="A105" s="250" t="s">
        <v>570</v>
      </c>
      <c r="B105" s="251">
        <v>2005</v>
      </c>
      <c r="C105" s="250"/>
      <c r="D105" s="250"/>
      <c r="E105" s="261"/>
      <c r="F105" s="253"/>
      <c r="G105" s="253"/>
      <c r="H105" s="253"/>
      <c r="I105" s="253"/>
      <c r="J105" s="253"/>
      <c r="K105" s="285"/>
      <c r="L105" s="285"/>
      <c r="M105" s="285"/>
      <c r="N105" s="285"/>
      <c r="O105" s="285"/>
      <c r="P105" s="285"/>
      <c r="Q105" s="285"/>
      <c r="R105" s="285"/>
      <c r="S105" s="285"/>
      <c r="T105" s="285"/>
      <c r="U105" s="285"/>
      <c r="V105" s="285"/>
      <c r="W105" s="285"/>
      <c r="X105" s="285"/>
      <c r="Y105" s="285"/>
      <c r="Z105" s="285"/>
      <c r="AA105" s="285"/>
      <c r="AB105" s="285"/>
      <c r="AC105" s="285"/>
      <c r="AD105" s="285"/>
      <c r="AE105" s="287"/>
      <c r="AF105" s="287"/>
      <c r="AG105" s="287"/>
    </row>
    <row r="106" spans="1:33">
      <c r="A106" s="250" t="s">
        <v>571</v>
      </c>
      <c r="B106" s="251" t="s">
        <v>551</v>
      </c>
      <c r="C106" s="250"/>
      <c r="D106" s="250"/>
      <c r="E106" s="261"/>
      <c r="F106" s="254"/>
      <c r="G106" s="285"/>
      <c r="H106" s="285"/>
      <c r="I106" s="285"/>
      <c r="J106" s="285"/>
      <c r="K106" s="285"/>
      <c r="L106" s="285"/>
      <c r="M106" s="285"/>
      <c r="N106" s="285"/>
      <c r="O106" s="285"/>
      <c r="P106" s="285"/>
      <c r="Q106" s="285"/>
      <c r="R106" s="285"/>
      <c r="S106" s="285"/>
      <c r="T106" s="285"/>
      <c r="U106" s="285"/>
      <c r="V106" s="285"/>
      <c r="W106" s="285"/>
      <c r="X106" s="285"/>
      <c r="Y106" s="285"/>
      <c r="Z106" s="285"/>
      <c r="AA106" s="285"/>
      <c r="AB106" s="285"/>
      <c r="AC106" s="285"/>
      <c r="AD106" s="285"/>
      <c r="AE106" s="287"/>
      <c r="AF106" s="287"/>
      <c r="AG106" s="287"/>
    </row>
    <row r="107" spans="1:33">
      <c r="A107" s="250" t="s">
        <v>571</v>
      </c>
      <c r="B107" s="251" t="s">
        <v>552</v>
      </c>
      <c r="C107" s="250"/>
      <c r="D107" s="250"/>
      <c r="E107" s="261"/>
      <c r="F107" s="286"/>
      <c r="G107" s="254"/>
      <c r="H107" s="285"/>
      <c r="I107" s="285"/>
      <c r="J107" s="285"/>
      <c r="K107" s="285"/>
      <c r="L107" s="285"/>
      <c r="M107" s="285"/>
      <c r="N107" s="285"/>
      <c r="O107" s="285"/>
      <c r="P107" s="285"/>
      <c r="Q107" s="285"/>
      <c r="R107" s="285"/>
      <c r="S107" s="285"/>
      <c r="T107" s="285"/>
      <c r="U107" s="285"/>
      <c r="V107" s="285"/>
      <c r="W107" s="285"/>
      <c r="X107" s="285"/>
      <c r="Y107" s="285"/>
      <c r="Z107" s="285"/>
      <c r="AA107" s="285"/>
      <c r="AB107" s="285"/>
      <c r="AC107" s="285"/>
      <c r="AD107" s="285"/>
      <c r="AE107" s="287"/>
      <c r="AF107" s="287"/>
      <c r="AG107" s="287"/>
    </row>
    <row r="108" spans="1:33">
      <c r="A108" s="250" t="s">
        <v>571</v>
      </c>
      <c r="B108" s="251" t="s">
        <v>553</v>
      </c>
      <c r="C108" s="250"/>
      <c r="D108" s="250"/>
      <c r="E108" s="261"/>
      <c r="F108" s="286"/>
      <c r="G108" s="286"/>
      <c r="H108" s="254"/>
      <c r="I108" s="285"/>
      <c r="J108" s="285"/>
      <c r="K108" s="285"/>
      <c r="L108" s="285"/>
      <c r="M108" s="285"/>
      <c r="N108" s="285"/>
      <c r="O108" s="285"/>
      <c r="P108" s="285"/>
      <c r="Q108" s="285"/>
      <c r="R108" s="285"/>
      <c r="S108" s="285"/>
      <c r="T108" s="285"/>
      <c r="U108" s="285"/>
      <c r="V108" s="285"/>
      <c r="W108" s="285"/>
      <c r="X108" s="285"/>
      <c r="Y108" s="285"/>
      <c r="Z108" s="285"/>
      <c r="AA108" s="285"/>
      <c r="AB108" s="285"/>
      <c r="AC108" s="285"/>
      <c r="AD108" s="285"/>
      <c r="AE108" s="287"/>
      <c r="AF108" s="287"/>
      <c r="AG108" s="287"/>
    </row>
    <row r="109" spans="1:33">
      <c r="A109" s="250" t="s">
        <v>571</v>
      </c>
      <c r="B109" s="251" t="s">
        <v>554</v>
      </c>
      <c r="C109" s="250"/>
      <c r="D109" s="250"/>
      <c r="E109" s="261"/>
      <c r="F109" s="286"/>
      <c r="G109" s="286"/>
      <c r="H109" s="286"/>
      <c r="I109" s="254"/>
      <c r="J109" s="285"/>
      <c r="K109" s="285"/>
      <c r="L109" s="285"/>
      <c r="M109" s="285"/>
      <c r="N109" s="285"/>
      <c r="O109" s="285"/>
      <c r="P109" s="285"/>
      <c r="Q109" s="285"/>
      <c r="R109" s="285"/>
      <c r="S109" s="285"/>
      <c r="T109" s="285"/>
      <c r="U109" s="285"/>
      <c r="V109" s="285"/>
      <c r="W109" s="285"/>
      <c r="X109" s="285"/>
      <c r="Y109" s="285"/>
      <c r="Z109" s="285"/>
      <c r="AA109" s="285"/>
      <c r="AB109" s="285"/>
      <c r="AC109" s="285"/>
      <c r="AD109" s="285"/>
      <c r="AE109" s="287"/>
      <c r="AF109" s="287"/>
      <c r="AG109" s="287"/>
    </row>
    <row r="110" spans="1:33">
      <c r="A110" s="250" t="s">
        <v>571</v>
      </c>
      <c r="B110" s="251" t="s">
        <v>555</v>
      </c>
      <c r="C110" s="250"/>
      <c r="D110" s="250"/>
      <c r="E110" s="261"/>
      <c r="F110" s="286"/>
      <c r="G110" s="286"/>
      <c r="H110" s="286"/>
      <c r="I110" s="286"/>
      <c r="J110" s="254"/>
      <c r="K110" s="285"/>
      <c r="L110" s="285"/>
      <c r="M110" s="285"/>
      <c r="N110" s="285"/>
      <c r="O110" s="285"/>
      <c r="P110" s="285"/>
      <c r="Q110" s="285"/>
      <c r="R110" s="285"/>
      <c r="S110" s="285"/>
      <c r="T110" s="285"/>
      <c r="U110" s="285"/>
      <c r="V110" s="285"/>
      <c r="W110" s="285"/>
      <c r="X110" s="285"/>
      <c r="Y110" s="285"/>
      <c r="Z110" s="285"/>
      <c r="AA110" s="285"/>
      <c r="AB110" s="285"/>
      <c r="AC110" s="285"/>
      <c r="AD110" s="285"/>
      <c r="AE110" s="287"/>
      <c r="AF110" s="287"/>
      <c r="AG110" s="287"/>
    </row>
    <row r="111" spans="1:33">
      <c r="A111" s="250" t="s">
        <v>571</v>
      </c>
      <c r="B111" s="251" t="s">
        <v>556</v>
      </c>
      <c r="C111" s="250"/>
      <c r="D111" s="250"/>
      <c r="E111" s="261"/>
      <c r="F111" s="286"/>
      <c r="G111" s="286"/>
      <c r="H111" s="286"/>
      <c r="I111" s="286"/>
      <c r="J111" s="286"/>
      <c r="K111" s="254"/>
      <c r="L111" s="285"/>
      <c r="M111" s="285"/>
      <c r="N111" s="285"/>
      <c r="O111" s="285"/>
      <c r="P111" s="285"/>
      <c r="Q111" s="285"/>
      <c r="R111" s="285"/>
      <c r="S111" s="285"/>
      <c r="T111" s="285"/>
      <c r="U111" s="285"/>
      <c r="V111" s="285"/>
      <c r="W111" s="285"/>
      <c r="X111" s="285"/>
      <c r="Y111" s="285"/>
      <c r="Z111" s="285"/>
      <c r="AA111" s="285"/>
      <c r="AB111" s="285"/>
      <c r="AC111" s="285"/>
      <c r="AD111" s="285"/>
      <c r="AE111" s="287"/>
      <c r="AF111" s="287"/>
      <c r="AG111" s="287"/>
    </row>
    <row r="112" spans="1:33">
      <c r="A112" s="250" t="s">
        <v>571</v>
      </c>
      <c r="B112" s="251" t="s">
        <v>557</v>
      </c>
      <c r="C112" s="250"/>
      <c r="D112" s="250"/>
      <c r="E112" s="261"/>
      <c r="F112" s="286"/>
      <c r="G112" s="286"/>
      <c r="H112" s="286"/>
      <c r="I112" s="286"/>
      <c r="J112" s="286"/>
      <c r="K112" s="286"/>
      <c r="L112" s="254"/>
      <c r="M112" s="285"/>
      <c r="N112" s="285"/>
      <c r="O112" s="285"/>
      <c r="P112" s="285"/>
      <c r="Q112" s="285"/>
      <c r="R112" s="285"/>
      <c r="S112" s="285"/>
      <c r="T112" s="285"/>
      <c r="U112" s="285"/>
      <c r="V112" s="285"/>
      <c r="W112" s="285"/>
      <c r="X112" s="285"/>
      <c r="Y112" s="285"/>
      <c r="Z112" s="285"/>
      <c r="AA112" s="285"/>
      <c r="AB112" s="285"/>
      <c r="AC112" s="285"/>
      <c r="AD112" s="285"/>
      <c r="AE112" s="287"/>
      <c r="AF112" s="287"/>
      <c r="AG112" s="287"/>
    </row>
    <row r="113" spans="1:33">
      <c r="A113" s="250" t="s">
        <v>571</v>
      </c>
      <c r="B113" s="251" t="s">
        <v>558</v>
      </c>
      <c r="C113" s="250"/>
      <c r="D113" s="250"/>
      <c r="E113" s="261"/>
      <c r="F113" s="286"/>
      <c r="G113" s="286"/>
      <c r="H113" s="286"/>
      <c r="I113" s="286"/>
      <c r="J113" s="286"/>
      <c r="K113" s="286"/>
      <c r="L113" s="286"/>
      <c r="M113" s="254"/>
      <c r="N113" s="285"/>
      <c r="O113" s="285"/>
      <c r="P113" s="285"/>
      <c r="Q113" s="285"/>
      <c r="R113" s="285"/>
      <c r="S113" s="285"/>
      <c r="T113" s="285"/>
      <c r="U113" s="285"/>
      <c r="V113" s="285"/>
      <c r="W113" s="285"/>
      <c r="X113" s="285"/>
      <c r="Y113" s="285"/>
      <c r="Z113" s="285"/>
      <c r="AA113" s="285"/>
      <c r="AB113" s="285"/>
      <c r="AC113" s="285"/>
      <c r="AD113" s="285"/>
      <c r="AE113" s="287"/>
      <c r="AF113" s="287"/>
      <c r="AG113" s="287"/>
    </row>
    <row r="114" spans="1:33">
      <c r="A114" s="250" t="s">
        <v>571</v>
      </c>
      <c r="B114" s="251" t="s">
        <v>559</v>
      </c>
      <c r="C114" s="250"/>
      <c r="D114" s="250"/>
      <c r="E114" s="261"/>
      <c r="F114" s="286"/>
      <c r="G114" s="286"/>
      <c r="H114" s="286"/>
      <c r="I114" s="286"/>
      <c r="J114" s="286"/>
      <c r="K114" s="286"/>
      <c r="L114" s="286"/>
      <c r="M114" s="286"/>
      <c r="N114" s="254"/>
      <c r="O114" s="285"/>
      <c r="P114" s="285"/>
      <c r="Q114" s="285"/>
      <c r="R114" s="285"/>
      <c r="S114" s="285"/>
      <c r="T114" s="285"/>
      <c r="U114" s="285"/>
      <c r="V114" s="285"/>
      <c r="W114" s="285"/>
      <c r="X114" s="285"/>
      <c r="Y114" s="285"/>
      <c r="Z114" s="285"/>
      <c r="AA114" s="285"/>
      <c r="AB114" s="285"/>
      <c r="AC114" s="285"/>
      <c r="AD114" s="285"/>
      <c r="AE114" s="287"/>
      <c r="AF114" s="287"/>
      <c r="AG114" s="287"/>
    </row>
    <row r="115" spans="1:33">
      <c r="A115" s="250" t="s">
        <v>571</v>
      </c>
      <c r="B115" s="251" t="s">
        <v>560</v>
      </c>
      <c r="C115" s="250"/>
      <c r="D115" s="250"/>
      <c r="E115" s="261"/>
      <c r="F115" s="286"/>
      <c r="G115" s="286"/>
      <c r="H115" s="286"/>
      <c r="I115" s="286"/>
      <c r="J115" s="286"/>
      <c r="K115" s="286"/>
      <c r="L115" s="286"/>
      <c r="M115" s="286"/>
      <c r="N115" s="286"/>
      <c r="O115" s="254"/>
      <c r="P115" s="285"/>
      <c r="Q115" s="285"/>
      <c r="R115" s="285"/>
      <c r="S115" s="285"/>
      <c r="T115" s="285"/>
      <c r="U115" s="285"/>
      <c r="V115" s="285"/>
      <c r="W115" s="285"/>
      <c r="X115" s="285"/>
      <c r="Y115" s="285"/>
      <c r="Z115" s="285"/>
      <c r="AA115" s="285"/>
      <c r="AB115" s="285"/>
      <c r="AC115" s="285"/>
      <c r="AD115" s="285"/>
      <c r="AE115" s="287"/>
      <c r="AF115" s="287"/>
      <c r="AG115" s="287"/>
    </row>
    <row r="116" spans="1:33">
      <c r="A116" s="250" t="s">
        <v>571</v>
      </c>
      <c r="B116" s="251" t="s">
        <v>561</v>
      </c>
      <c r="C116" s="250"/>
      <c r="D116" s="250"/>
      <c r="E116" s="261"/>
      <c r="F116" s="286"/>
      <c r="G116" s="286"/>
      <c r="H116" s="286"/>
      <c r="I116" s="286"/>
      <c r="J116" s="286"/>
      <c r="K116" s="286"/>
      <c r="L116" s="286"/>
      <c r="M116" s="286"/>
      <c r="N116" s="286"/>
      <c r="O116" s="286"/>
      <c r="P116" s="254"/>
      <c r="Q116" s="285"/>
      <c r="R116" s="285"/>
      <c r="S116" s="285"/>
      <c r="T116" s="285"/>
      <c r="U116" s="285"/>
      <c r="V116" s="285"/>
      <c r="W116" s="285"/>
      <c r="X116" s="285"/>
      <c r="Y116" s="285"/>
      <c r="Z116" s="285"/>
      <c r="AA116" s="285"/>
      <c r="AB116" s="285"/>
      <c r="AC116" s="285"/>
      <c r="AD116" s="285"/>
      <c r="AE116" s="287"/>
      <c r="AF116" s="287"/>
      <c r="AG116" s="287"/>
    </row>
    <row r="117" spans="1:33">
      <c r="A117" s="250" t="s">
        <v>571</v>
      </c>
      <c r="B117" s="251" t="s">
        <v>562</v>
      </c>
      <c r="C117" s="250"/>
      <c r="D117" s="250"/>
      <c r="E117" s="261"/>
      <c r="F117" s="286"/>
      <c r="G117" s="286"/>
      <c r="H117" s="286"/>
      <c r="I117" s="286"/>
      <c r="J117" s="286"/>
      <c r="K117" s="286"/>
      <c r="L117" s="286"/>
      <c r="M117" s="286"/>
      <c r="N117" s="286"/>
      <c r="O117" s="286"/>
      <c r="P117" s="286"/>
      <c r="Q117" s="254"/>
      <c r="R117" s="285"/>
      <c r="S117" s="285"/>
      <c r="T117" s="285"/>
      <c r="U117" s="285"/>
      <c r="V117" s="285"/>
      <c r="W117" s="285"/>
      <c r="X117" s="285"/>
      <c r="Y117" s="285"/>
      <c r="Z117" s="285"/>
      <c r="AA117" s="285"/>
      <c r="AB117" s="285"/>
      <c r="AC117" s="285"/>
      <c r="AD117" s="285"/>
      <c r="AE117" s="287"/>
      <c r="AF117" s="287"/>
      <c r="AG117" s="287"/>
    </row>
    <row r="118" spans="1:33">
      <c r="A118" s="250" t="s">
        <v>571</v>
      </c>
      <c r="B118" s="251" t="s">
        <v>563</v>
      </c>
      <c r="C118" s="250"/>
      <c r="D118" s="250"/>
      <c r="E118" s="261"/>
      <c r="F118" s="286"/>
      <c r="G118" s="286"/>
      <c r="H118" s="286"/>
      <c r="I118" s="286"/>
      <c r="J118" s="286"/>
      <c r="K118" s="286"/>
      <c r="L118" s="286"/>
      <c r="M118" s="286"/>
      <c r="N118" s="286"/>
      <c r="O118" s="286"/>
      <c r="P118" s="286"/>
      <c r="Q118" s="286"/>
      <c r="R118" s="254"/>
      <c r="S118" s="285"/>
      <c r="T118" s="285"/>
      <c r="U118" s="285"/>
      <c r="V118" s="285"/>
      <c r="W118" s="285"/>
      <c r="X118" s="285"/>
      <c r="Y118" s="285"/>
      <c r="Z118" s="285"/>
      <c r="AA118" s="285"/>
      <c r="AB118" s="285"/>
      <c r="AC118" s="285"/>
      <c r="AD118" s="285"/>
      <c r="AE118" s="287"/>
      <c r="AF118" s="287"/>
      <c r="AG118" s="287"/>
    </row>
    <row r="119" spans="1:33">
      <c r="A119" s="250" t="s">
        <v>571</v>
      </c>
      <c r="B119" s="251" t="s">
        <v>564</v>
      </c>
      <c r="C119" s="250"/>
      <c r="D119" s="250"/>
      <c r="E119" s="261"/>
      <c r="F119" s="286"/>
      <c r="G119" s="286"/>
      <c r="H119" s="286"/>
      <c r="I119" s="286"/>
      <c r="J119" s="286"/>
      <c r="K119" s="286"/>
      <c r="L119" s="286"/>
      <c r="M119" s="286"/>
      <c r="N119" s="286"/>
      <c r="O119" s="286"/>
      <c r="P119" s="286"/>
      <c r="Q119" s="286"/>
      <c r="R119" s="286"/>
      <c r="S119" s="254"/>
      <c r="T119" s="285"/>
      <c r="U119" s="285"/>
      <c r="V119" s="285"/>
      <c r="W119" s="285"/>
      <c r="X119" s="285"/>
      <c r="Y119" s="285"/>
      <c r="Z119" s="285"/>
      <c r="AA119" s="285"/>
      <c r="AB119" s="285"/>
      <c r="AC119" s="285"/>
      <c r="AD119" s="285"/>
      <c r="AE119" s="287"/>
      <c r="AF119" s="287"/>
      <c r="AG119" s="287"/>
    </row>
    <row r="120" spans="1:33">
      <c r="A120" s="250" t="s">
        <v>571</v>
      </c>
      <c r="B120" s="251" t="s">
        <v>565</v>
      </c>
      <c r="C120" s="253"/>
      <c r="D120" s="250"/>
      <c r="E120" s="261"/>
      <c r="F120" s="286"/>
      <c r="G120" s="286"/>
      <c r="H120" s="286"/>
      <c r="I120" s="286"/>
      <c r="J120" s="286"/>
      <c r="K120" s="286"/>
      <c r="L120" s="286"/>
      <c r="M120" s="286"/>
      <c r="N120" s="286"/>
      <c r="O120" s="286"/>
      <c r="P120" s="286"/>
      <c r="Q120" s="286"/>
      <c r="R120" s="286"/>
      <c r="S120" s="286"/>
      <c r="T120" s="254"/>
      <c r="U120" s="285"/>
      <c r="V120" s="285"/>
      <c r="W120" s="285"/>
      <c r="X120" s="285"/>
      <c r="Y120" s="285"/>
      <c r="Z120" s="285"/>
      <c r="AA120" s="285"/>
      <c r="AB120" s="285"/>
      <c r="AC120" s="285"/>
      <c r="AD120" s="285"/>
      <c r="AE120" s="287"/>
      <c r="AF120" s="287"/>
      <c r="AG120" s="287"/>
    </row>
    <row r="121" spans="1:33">
      <c r="A121" s="250" t="s">
        <v>571</v>
      </c>
      <c r="B121" s="251" t="s">
        <v>566</v>
      </c>
      <c r="C121" s="253"/>
      <c r="D121" s="250"/>
      <c r="E121" s="261"/>
      <c r="F121" s="286"/>
      <c r="G121" s="286"/>
      <c r="H121" s="286"/>
      <c r="I121" s="286"/>
      <c r="J121" s="286"/>
      <c r="K121" s="286"/>
      <c r="L121" s="286"/>
      <c r="M121" s="286"/>
      <c r="N121" s="286"/>
      <c r="O121" s="286"/>
      <c r="P121" s="286"/>
      <c r="Q121" s="286"/>
      <c r="R121" s="286"/>
      <c r="S121" s="286"/>
      <c r="T121" s="286"/>
      <c r="U121" s="254"/>
      <c r="V121" s="285"/>
      <c r="W121" s="285"/>
      <c r="X121" s="285"/>
      <c r="Y121" s="285"/>
      <c r="Z121" s="285"/>
      <c r="AA121" s="285"/>
      <c r="AB121" s="285"/>
      <c r="AC121" s="285"/>
      <c r="AD121" s="285"/>
      <c r="AE121" s="287"/>
      <c r="AF121" s="287"/>
      <c r="AG121" s="287"/>
    </row>
    <row r="122" spans="1:33">
      <c r="A122" s="250" t="s">
        <v>571</v>
      </c>
      <c r="B122" s="251" t="s">
        <v>567</v>
      </c>
      <c r="C122" s="253"/>
      <c r="D122" s="253"/>
      <c r="E122" s="261"/>
      <c r="F122" s="286"/>
      <c r="G122" s="286"/>
      <c r="H122" s="286"/>
      <c r="I122" s="286"/>
      <c r="J122" s="286"/>
      <c r="K122" s="286"/>
      <c r="L122" s="286"/>
      <c r="M122" s="286"/>
      <c r="N122" s="286"/>
      <c r="O122" s="286"/>
      <c r="P122" s="286"/>
      <c r="Q122" s="286"/>
      <c r="R122" s="286"/>
      <c r="S122" s="286"/>
      <c r="T122" s="286"/>
      <c r="U122" s="286"/>
      <c r="V122" s="254"/>
      <c r="W122" s="285"/>
      <c r="X122" s="285"/>
      <c r="Y122" s="285"/>
      <c r="Z122" s="285"/>
      <c r="AA122" s="285"/>
      <c r="AB122" s="285"/>
      <c r="AC122" s="285"/>
      <c r="AD122" s="285"/>
      <c r="AE122" s="287"/>
      <c r="AF122" s="287"/>
      <c r="AG122" s="287"/>
    </row>
    <row r="123" spans="1:33">
      <c r="A123" s="250" t="s">
        <v>571</v>
      </c>
      <c r="B123" s="251" t="s">
        <v>568</v>
      </c>
      <c r="C123" s="253"/>
      <c r="D123" s="253"/>
      <c r="E123" s="261"/>
      <c r="F123" s="286"/>
      <c r="G123" s="286"/>
      <c r="H123" s="286"/>
      <c r="I123" s="286"/>
      <c r="J123" s="286"/>
      <c r="K123" s="286"/>
      <c r="L123" s="286"/>
      <c r="M123" s="286"/>
      <c r="N123" s="286"/>
      <c r="O123" s="286"/>
      <c r="P123" s="286"/>
      <c r="Q123" s="286"/>
      <c r="R123" s="286"/>
      <c r="S123" s="286"/>
      <c r="T123" s="286"/>
      <c r="U123" s="286"/>
      <c r="V123" s="286"/>
      <c r="W123" s="254"/>
      <c r="X123" s="285"/>
      <c r="Y123" s="285"/>
      <c r="Z123" s="285"/>
      <c r="AA123" s="285"/>
      <c r="AB123" s="285"/>
      <c r="AC123" s="285"/>
      <c r="AD123" s="285"/>
      <c r="AE123" s="287"/>
      <c r="AF123" s="287"/>
      <c r="AG123" s="287"/>
    </row>
    <row r="124" spans="1:33">
      <c r="A124" s="250" t="s">
        <v>571</v>
      </c>
      <c r="B124" s="251" t="s">
        <v>569</v>
      </c>
      <c r="C124" s="253"/>
      <c r="D124" s="253"/>
      <c r="E124" s="261"/>
      <c r="F124" s="286"/>
      <c r="G124" s="286"/>
      <c r="H124" s="286"/>
      <c r="I124" s="286"/>
      <c r="J124" s="286"/>
      <c r="K124" s="286"/>
      <c r="L124" s="286"/>
      <c r="M124" s="286"/>
      <c r="N124" s="286"/>
      <c r="O124" s="286"/>
      <c r="P124" s="286"/>
      <c r="Q124" s="286"/>
      <c r="R124" s="286"/>
      <c r="S124" s="286"/>
      <c r="T124" s="286"/>
      <c r="U124" s="286"/>
      <c r="V124" s="286"/>
      <c r="W124" s="286"/>
      <c r="X124" s="254"/>
      <c r="Y124" s="285"/>
      <c r="Z124" s="285"/>
      <c r="AA124" s="285"/>
      <c r="AB124" s="285"/>
      <c r="AC124" s="285"/>
      <c r="AD124" s="285"/>
      <c r="AE124" s="287"/>
      <c r="AF124" s="287"/>
      <c r="AG124" s="287"/>
    </row>
    <row r="125" spans="1:33">
      <c r="A125" s="250" t="s">
        <v>571</v>
      </c>
      <c r="B125" s="251" t="s">
        <v>572</v>
      </c>
      <c r="C125" s="253"/>
      <c r="D125" s="253"/>
      <c r="E125" s="262"/>
      <c r="F125" s="286"/>
      <c r="G125" s="286"/>
      <c r="H125" s="286"/>
      <c r="I125" s="286"/>
      <c r="J125" s="286"/>
      <c r="K125" s="286"/>
      <c r="L125" s="286"/>
      <c r="M125" s="286"/>
      <c r="N125" s="286"/>
      <c r="O125" s="286"/>
      <c r="P125" s="286"/>
      <c r="Q125" s="286"/>
      <c r="R125" s="286"/>
      <c r="S125" s="286"/>
      <c r="T125" s="286"/>
      <c r="U125" s="286"/>
      <c r="V125" s="286"/>
      <c r="W125" s="286"/>
      <c r="X125" s="286"/>
      <c r="Y125" s="254"/>
      <c r="Z125" s="285"/>
      <c r="AA125" s="285"/>
      <c r="AB125" s="285"/>
      <c r="AC125" s="285"/>
      <c r="AD125" s="285"/>
      <c r="AE125" s="287"/>
      <c r="AF125" s="287"/>
      <c r="AG125" s="287"/>
    </row>
    <row r="126" spans="1:33">
      <c r="A126" s="250" t="s">
        <v>571</v>
      </c>
      <c r="B126" t="s">
        <v>573</v>
      </c>
      <c r="C126" s="253"/>
      <c r="D126" s="253"/>
      <c r="E126" s="262"/>
      <c r="F126" s="286"/>
      <c r="G126" s="286"/>
      <c r="H126" s="286"/>
      <c r="I126" s="286"/>
      <c r="J126" s="286"/>
      <c r="K126" s="286"/>
      <c r="L126" s="286"/>
      <c r="M126" s="286"/>
      <c r="N126" s="286"/>
      <c r="O126" s="286"/>
      <c r="P126" s="286"/>
      <c r="Q126" s="286"/>
      <c r="R126" s="286"/>
      <c r="S126" s="286"/>
      <c r="T126" s="286"/>
      <c r="U126" s="286"/>
      <c r="V126" s="286"/>
      <c r="W126" s="286"/>
      <c r="X126" s="286"/>
      <c r="Y126" s="286"/>
      <c r="Z126" s="254"/>
      <c r="AA126" s="285"/>
      <c r="AB126" s="285"/>
      <c r="AC126" s="285"/>
      <c r="AD126" s="285"/>
      <c r="AE126" s="287"/>
      <c r="AF126" s="287"/>
      <c r="AG126" s="287"/>
    </row>
    <row r="127" spans="1:33">
      <c r="A127" s="250" t="s">
        <v>571</v>
      </c>
      <c r="B127" t="s">
        <v>574</v>
      </c>
      <c r="C127" s="253"/>
      <c r="D127" s="253"/>
      <c r="E127" s="262"/>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54"/>
      <c r="AB127" s="285"/>
      <c r="AC127" s="285"/>
      <c r="AD127" s="285"/>
      <c r="AE127" s="287"/>
      <c r="AF127" s="287"/>
      <c r="AG127" s="287"/>
    </row>
    <row r="128" spans="1:33">
      <c r="A128" s="250" t="s">
        <v>571</v>
      </c>
      <c r="B128" t="s">
        <v>575</v>
      </c>
      <c r="C128" s="253"/>
      <c r="D128" s="253"/>
      <c r="E128" s="262"/>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54"/>
      <c r="AC128" s="285"/>
      <c r="AD128" s="285"/>
      <c r="AE128" s="287"/>
      <c r="AF128" s="287"/>
      <c r="AG128" s="287"/>
    </row>
    <row r="129" spans="1:33">
      <c r="A129" s="250" t="s">
        <v>571</v>
      </c>
      <c r="B129" t="s">
        <v>576</v>
      </c>
      <c r="C129" s="253"/>
      <c r="D129" s="253"/>
      <c r="E129" s="262"/>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54"/>
      <c r="AD129" s="285"/>
      <c r="AE129" s="287"/>
      <c r="AF129" s="287"/>
      <c r="AG129" s="287"/>
    </row>
    <row r="130" spans="1:33">
      <c r="A130" s="250" t="s">
        <v>571</v>
      </c>
      <c r="B130" t="s">
        <v>577</v>
      </c>
      <c r="C130" s="253"/>
      <c r="D130" s="253"/>
      <c r="E130" s="262"/>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54"/>
      <c r="AE130" s="287"/>
      <c r="AF130" s="287"/>
      <c r="AG130" s="287"/>
    </row>
    <row r="131" spans="1:33">
      <c r="A131" s="255"/>
      <c r="B131" s="256" t="s">
        <v>235</v>
      </c>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row>
    <row r="132" spans="1:33">
      <c r="C132" s="265"/>
    </row>
    <row r="134" spans="1:33">
      <c r="K134" s="258"/>
    </row>
    <row r="135" spans="1:33">
      <c r="B135" s="245" t="s">
        <v>582</v>
      </c>
      <c r="K135" s="283" t="s">
        <v>56</v>
      </c>
    </row>
    <row r="136" spans="1:33" ht="25.5">
      <c r="A136" s="246"/>
      <c r="B136" s="247" t="s">
        <v>543</v>
      </c>
      <c r="C136" s="1057" t="s">
        <v>579</v>
      </c>
      <c r="D136" s="1057" t="s">
        <v>545</v>
      </c>
      <c r="E136" s="1057" t="s">
        <v>546</v>
      </c>
      <c r="F136" s="1054" t="s">
        <v>547</v>
      </c>
      <c r="G136" s="1055"/>
      <c r="H136" s="1055"/>
      <c r="I136" s="1055"/>
      <c r="J136" s="1055"/>
      <c r="K136" s="1055"/>
      <c r="L136" s="1055"/>
      <c r="M136" s="1055"/>
      <c r="N136" s="1055"/>
      <c r="O136" s="1055"/>
      <c r="P136" s="1055"/>
      <c r="Q136" s="1055"/>
      <c r="R136" s="1055"/>
      <c r="S136" s="1055"/>
      <c r="T136" s="1055"/>
      <c r="U136" s="1055"/>
      <c r="V136" s="1055"/>
      <c r="W136" s="1055"/>
      <c r="X136" s="1055"/>
      <c r="Y136" s="1055"/>
      <c r="Z136" s="1055"/>
      <c r="AA136" s="1055"/>
      <c r="AB136" s="1055"/>
      <c r="AC136" s="1055"/>
      <c r="AD136" s="1056"/>
      <c r="AE136" s="284" t="s">
        <v>548</v>
      </c>
      <c r="AF136" s="284" t="s">
        <v>549</v>
      </c>
      <c r="AG136" s="284" t="s">
        <v>550</v>
      </c>
    </row>
    <row r="137" spans="1:33">
      <c r="A137" s="246"/>
      <c r="B137" s="247"/>
      <c r="C137" s="1058"/>
      <c r="D137" s="1058"/>
      <c r="E137" s="1058"/>
      <c r="F137" s="249" t="s">
        <v>551</v>
      </c>
      <c r="G137" s="249" t="s">
        <v>552</v>
      </c>
      <c r="H137" s="249" t="s">
        <v>553</v>
      </c>
      <c r="I137" s="249" t="s">
        <v>554</v>
      </c>
      <c r="J137" s="249" t="s">
        <v>555</v>
      </c>
      <c r="K137" s="249" t="s">
        <v>556</v>
      </c>
      <c r="L137" s="249" t="s">
        <v>557</v>
      </c>
      <c r="M137" s="249" t="s">
        <v>558</v>
      </c>
      <c r="N137" s="249" t="s">
        <v>559</v>
      </c>
      <c r="O137" s="249" t="s">
        <v>560</v>
      </c>
      <c r="P137" s="249" t="s">
        <v>561</v>
      </c>
      <c r="Q137" s="249" t="s">
        <v>562</v>
      </c>
      <c r="R137" s="249" t="s">
        <v>563</v>
      </c>
      <c r="S137" s="249" t="s">
        <v>564</v>
      </c>
      <c r="T137" s="249" t="s">
        <v>565</v>
      </c>
      <c r="U137" s="249" t="s">
        <v>566</v>
      </c>
      <c r="V137" s="249" t="s">
        <v>567</v>
      </c>
      <c r="W137" s="249" t="s">
        <v>568</v>
      </c>
      <c r="X137" s="249" t="s">
        <v>569</v>
      </c>
      <c r="Y137" s="249" t="s">
        <v>60</v>
      </c>
      <c r="Z137" s="249" t="s">
        <v>70</v>
      </c>
      <c r="AA137" s="249" t="s">
        <v>71</v>
      </c>
      <c r="AB137" s="249" t="s">
        <v>72</v>
      </c>
      <c r="AC137" s="249" t="s">
        <v>73</v>
      </c>
      <c r="AD137" s="249" t="s">
        <v>74</v>
      </c>
      <c r="AE137" s="284"/>
      <c r="AF137" s="284"/>
      <c r="AG137" s="284"/>
    </row>
    <row r="138" spans="1:33">
      <c r="A138" s="250" t="s">
        <v>570</v>
      </c>
      <c r="B138" s="251">
        <v>2005</v>
      </c>
      <c r="C138" s="250"/>
      <c r="D138" s="250"/>
      <c r="E138" s="261"/>
      <c r="F138" s="253"/>
      <c r="G138" s="253"/>
      <c r="H138" s="253"/>
      <c r="I138" s="253"/>
      <c r="J138" s="253"/>
      <c r="K138" s="285"/>
      <c r="L138" s="285"/>
      <c r="M138" s="285"/>
      <c r="N138" s="285"/>
      <c r="O138" s="285"/>
      <c r="P138" s="285"/>
      <c r="Q138" s="285"/>
      <c r="R138" s="285"/>
      <c r="S138" s="285"/>
      <c r="T138" s="285"/>
      <c r="U138" s="285"/>
      <c r="V138" s="285"/>
      <c r="W138" s="285"/>
      <c r="X138" s="285"/>
      <c r="Y138" s="285"/>
      <c r="Z138" s="285"/>
      <c r="AA138" s="285"/>
      <c r="AB138" s="285"/>
      <c r="AC138" s="285"/>
      <c r="AD138" s="285"/>
      <c r="AE138" s="287"/>
      <c r="AF138" s="287"/>
      <c r="AG138" s="287"/>
    </row>
    <row r="139" spans="1:33">
      <c r="A139" s="250" t="s">
        <v>571</v>
      </c>
      <c r="B139" s="251" t="s">
        <v>551</v>
      </c>
      <c r="C139" s="250"/>
      <c r="D139" s="250"/>
      <c r="E139" s="261"/>
      <c r="F139" s="254"/>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c r="AE139" s="287"/>
      <c r="AF139" s="287"/>
      <c r="AG139" s="287"/>
    </row>
    <row r="140" spans="1:33">
      <c r="A140" s="250" t="s">
        <v>571</v>
      </c>
      <c r="B140" s="251" t="s">
        <v>552</v>
      </c>
      <c r="C140" s="250"/>
      <c r="D140" s="250"/>
      <c r="E140" s="261"/>
      <c r="F140" s="286"/>
      <c r="G140" s="254"/>
      <c r="H140" s="285"/>
      <c r="I140" s="285"/>
      <c r="J140" s="285"/>
      <c r="K140" s="285"/>
      <c r="L140" s="285"/>
      <c r="M140" s="285"/>
      <c r="N140" s="285"/>
      <c r="O140" s="285"/>
      <c r="P140" s="285"/>
      <c r="Q140" s="285"/>
      <c r="R140" s="285"/>
      <c r="S140" s="285"/>
      <c r="T140" s="285"/>
      <c r="U140" s="285"/>
      <c r="V140" s="285"/>
      <c r="W140" s="285"/>
      <c r="X140" s="285"/>
      <c r="Y140" s="285"/>
      <c r="Z140" s="285"/>
      <c r="AA140" s="285"/>
      <c r="AB140" s="285"/>
      <c r="AC140" s="285"/>
      <c r="AD140" s="285"/>
      <c r="AE140" s="287"/>
      <c r="AF140" s="287"/>
      <c r="AG140" s="287"/>
    </row>
    <row r="141" spans="1:33">
      <c r="A141" s="250" t="s">
        <v>571</v>
      </c>
      <c r="B141" s="251" t="s">
        <v>553</v>
      </c>
      <c r="C141" s="250"/>
      <c r="D141" s="250"/>
      <c r="E141" s="261"/>
      <c r="F141" s="286"/>
      <c r="G141" s="286"/>
      <c r="H141" s="254"/>
      <c r="I141" s="285"/>
      <c r="J141" s="285"/>
      <c r="K141" s="285"/>
      <c r="L141" s="285"/>
      <c r="M141" s="285"/>
      <c r="N141" s="285"/>
      <c r="O141" s="285"/>
      <c r="P141" s="285"/>
      <c r="Q141" s="285"/>
      <c r="R141" s="285"/>
      <c r="S141" s="285"/>
      <c r="T141" s="285"/>
      <c r="U141" s="285"/>
      <c r="V141" s="285"/>
      <c r="W141" s="285"/>
      <c r="X141" s="285"/>
      <c r="Y141" s="285"/>
      <c r="Z141" s="285"/>
      <c r="AA141" s="285"/>
      <c r="AB141" s="285"/>
      <c r="AC141" s="285"/>
      <c r="AD141" s="285"/>
      <c r="AE141" s="287"/>
      <c r="AF141" s="287"/>
      <c r="AG141" s="287"/>
    </row>
    <row r="142" spans="1:33">
      <c r="A142" s="250" t="s">
        <v>571</v>
      </c>
      <c r="B142" s="251" t="s">
        <v>554</v>
      </c>
      <c r="C142" s="250"/>
      <c r="D142" s="250"/>
      <c r="E142" s="261"/>
      <c r="F142" s="286"/>
      <c r="G142" s="286"/>
      <c r="H142" s="286"/>
      <c r="I142" s="254"/>
      <c r="J142" s="285"/>
      <c r="K142" s="285"/>
      <c r="L142" s="285"/>
      <c r="M142" s="285"/>
      <c r="N142" s="285"/>
      <c r="O142" s="285"/>
      <c r="P142" s="285"/>
      <c r="Q142" s="285"/>
      <c r="R142" s="285"/>
      <c r="S142" s="285"/>
      <c r="T142" s="285"/>
      <c r="U142" s="285"/>
      <c r="V142" s="285"/>
      <c r="W142" s="285"/>
      <c r="X142" s="285"/>
      <c r="Y142" s="285"/>
      <c r="Z142" s="285"/>
      <c r="AA142" s="285"/>
      <c r="AB142" s="285"/>
      <c r="AC142" s="285"/>
      <c r="AD142" s="285"/>
      <c r="AE142" s="287"/>
      <c r="AF142" s="287"/>
      <c r="AG142" s="287"/>
    </row>
    <row r="143" spans="1:33">
      <c r="A143" s="250" t="s">
        <v>571</v>
      </c>
      <c r="B143" s="251" t="s">
        <v>555</v>
      </c>
      <c r="C143" s="250"/>
      <c r="D143" s="250"/>
      <c r="E143" s="261"/>
      <c r="F143" s="286"/>
      <c r="G143" s="286"/>
      <c r="H143" s="286"/>
      <c r="I143" s="286"/>
      <c r="J143" s="254"/>
      <c r="K143" s="285"/>
      <c r="L143" s="285"/>
      <c r="M143" s="285"/>
      <c r="N143" s="285"/>
      <c r="O143" s="285"/>
      <c r="P143" s="285"/>
      <c r="Q143" s="285"/>
      <c r="R143" s="285"/>
      <c r="S143" s="285"/>
      <c r="T143" s="285"/>
      <c r="U143" s="285"/>
      <c r="V143" s="285"/>
      <c r="W143" s="285"/>
      <c r="X143" s="285"/>
      <c r="Y143" s="285"/>
      <c r="Z143" s="285"/>
      <c r="AA143" s="285"/>
      <c r="AB143" s="285"/>
      <c r="AC143" s="285"/>
      <c r="AD143" s="285"/>
      <c r="AE143" s="287"/>
      <c r="AF143" s="287"/>
      <c r="AG143" s="287"/>
    </row>
    <row r="144" spans="1:33">
      <c r="A144" s="250" t="s">
        <v>571</v>
      </c>
      <c r="B144" s="251" t="s">
        <v>556</v>
      </c>
      <c r="C144" s="250"/>
      <c r="D144" s="250"/>
      <c r="E144" s="261"/>
      <c r="F144" s="286"/>
      <c r="G144" s="286"/>
      <c r="H144" s="286"/>
      <c r="I144" s="286"/>
      <c r="J144" s="286"/>
      <c r="K144" s="254"/>
      <c r="L144" s="285"/>
      <c r="M144" s="285"/>
      <c r="N144" s="285"/>
      <c r="O144" s="285"/>
      <c r="P144" s="285"/>
      <c r="Q144" s="285"/>
      <c r="R144" s="285"/>
      <c r="S144" s="285"/>
      <c r="T144" s="285"/>
      <c r="U144" s="285"/>
      <c r="V144" s="285"/>
      <c r="W144" s="285"/>
      <c r="X144" s="285"/>
      <c r="Y144" s="285"/>
      <c r="Z144" s="285"/>
      <c r="AA144" s="285"/>
      <c r="AB144" s="285"/>
      <c r="AC144" s="285"/>
      <c r="AD144" s="285"/>
      <c r="AE144" s="287"/>
      <c r="AF144" s="287"/>
      <c r="AG144" s="287"/>
    </row>
    <row r="145" spans="1:33">
      <c r="A145" s="250" t="s">
        <v>571</v>
      </c>
      <c r="B145" s="251" t="s">
        <v>557</v>
      </c>
      <c r="C145" s="250"/>
      <c r="D145" s="250"/>
      <c r="E145" s="261"/>
      <c r="F145" s="286"/>
      <c r="G145" s="286"/>
      <c r="H145" s="286"/>
      <c r="I145" s="286"/>
      <c r="J145" s="286"/>
      <c r="K145" s="286"/>
      <c r="L145" s="254"/>
      <c r="M145" s="285"/>
      <c r="N145" s="285"/>
      <c r="O145" s="285"/>
      <c r="P145" s="285"/>
      <c r="Q145" s="285"/>
      <c r="R145" s="285"/>
      <c r="S145" s="285"/>
      <c r="T145" s="285"/>
      <c r="U145" s="285"/>
      <c r="V145" s="285"/>
      <c r="W145" s="285"/>
      <c r="X145" s="285"/>
      <c r="Y145" s="285"/>
      <c r="Z145" s="285"/>
      <c r="AA145" s="285"/>
      <c r="AB145" s="285"/>
      <c r="AC145" s="285"/>
      <c r="AD145" s="285"/>
      <c r="AE145" s="287"/>
      <c r="AF145" s="287"/>
      <c r="AG145" s="287"/>
    </row>
    <row r="146" spans="1:33">
      <c r="A146" s="250" t="s">
        <v>571</v>
      </c>
      <c r="B146" s="251" t="s">
        <v>558</v>
      </c>
      <c r="C146" s="250"/>
      <c r="D146" s="250"/>
      <c r="E146" s="261"/>
      <c r="F146" s="286"/>
      <c r="G146" s="286"/>
      <c r="H146" s="286"/>
      <c r="I146" s="286"/>
      <c r="J146" s="286"/>
      <c r="K146" s="286"/>
      <c r="L146" s="286"/>
      <c r="M146" s="254"/>
      <c r="N146" s="285"/>
      <c r="O146" s="285"/>
      <c r="P146" s="285"/>
      <c r="Q146" s="285"/>
      <c r="R146" s="285"/>
      <c r="S146" s="285"/>
      <c r="T146" s="285"/>
      <c r="U146" s="285"/>
      <c r="V146" s="285"/>
      <c r="W146" s="285"/>
      <c r="X146" s="285"/>
      <c r="Y146" s="285"/>
      <c r="Z146" s="285"/>
      <c r="AA146" s="285"/>
      <c r="AB146" s="285"/>
      <c r="AC146" s="285"/>
      <c r="AD146" s="285"/>
      <c r="AE146" s="287"/>
      <c r="AF146" s="287"/>
      <c r="AG146" s="287"/>
    </row>
    <row r="147" spans="1:33">
      <c r="A147" s="250" t="s">
        <v>571</v>
      </c>
      <c r="B147" s="251" t="s">
        <v>559</v>
      </c>
      <c r="C147" s="250"/>
      <c r="D147" s="250"/>
      <c r="E147" s="261"/>
      <c r="F147" s="286"/>
      <c r="G147" s="286"/>
      <c r="H147" s="286"/>
      <c r="I147" s="286"/>
      <c r="J147" s="286"/>
      <c r="K147" s="286"/>
      <c r="L147" s="286"/>
      <c r="M147" s="286"/>
      <c r="N147" s="254"/>
      <c r="O147" s="285"/>
      <c r="P147" s="285"/>
      <c r="Q147" s="285"/>
      <c r="R147" s="285"/>
      <c r="S147" s="285"/>
      <c r="T147" s="285"/>
      <c r="U147" s="285"/>
      <c r="V147" s="285"/>
      <c r="W147" s="285"/>
      <c r="X147" s="285"/>
      <c r="Y147" s="285"/>
      <c r="Z147" s="285"/>
      <c r="AA147" s="285"/>
      <c r="AB147" s="285"/>
      <c r="AC147" s="285"/>
      <c r="AD147" s="285"/>
      <c r="AE147" s="287"/>
      <c r="AF147" s="287"/>
      <c r="AG147" s="287"/>
    </row>
    <row r="148" spans="1:33">
      <c r="A148" s="250" t="s">
        <v>571</v>
      </c>
      <c r="B148" s="251" t="s">
        <v>560</v>
      </c>
      <c r="C148" s="250"/>
      <c r="D148" s="250"/>
      <c r="E148" s="261"/>
      <c r="F148" s="286"/>
      <c r="G148" s="286"/>
      <c r="H148" s="286"/>
      <c r="I148" s="286"/>
      <c r="J148" s="286"/>
      <c r="K148" s="286"/>
      <c r="L148" s="286"/>
      <c r="M148" s="286"/>
      <c r="N148" s="286"/>
      <c r="O148" s="254"/>
      <c r="P148" s="285"/>
      <c r="Q148" s="285"/>
      <c r="R148" s="285"/>
      <c r="S148" s="285"/>
      <c r="T148" s="285"/>
      <c r="U148" s="285"/>
      <c r="V148" s="285"/>
      <c r="W148" s="285"/>
      <c r="X148" s="285"/>
      <c r="Y148" s="285"/>
      <c r="Z148" s="285"/>
      <c r="AA148" s="285"/>
      <c r="AB148" s="285"/>
      <c r="AC148" s="285"/>
      <c r="AD148" s="285"/>
      <c r="AE148" s="287"/>
      <c r="AF148" s="287"/>
      <c r="AG148" s="287"/>
    </row>
    <row r="149" spans="1:33">
      <c r="A149" s="250" t="s">
        <v>571</v>
      </c>
      <c r="B149" s="251" t="s">
        <v>561</v>
      </c>
      <c r="C149" s="250"/>
      <c r="D149" s="250"/>
      <c r="E149" s="261"/>
      <c r="F149" s="286"/>
      <c r="G149" s="286"/>
      <c r="H149" s="286"/>
      <c r="I149" s="286"/>
      <c r="J149" s="286"/>
      <c r="K149" s="286"/>
      <c r="L149" s="286"/>
      <c r="M149" s="286"/>
      <c r="N149" s="286"/>
      <c r="O149" s="286"/>
      <c r="P149" s="254"/>
      <c r="Q149" s="285"/>
      <c r="R149" s="285"/>
      <c r="S149" s="285"/>
      <c r="T149" s="285"/>
      <c r="U149" s="285"/>
      <c r="V149" s="285"/>
      <c r="W149" s="285"/>
      <c r="X149" s="285"/>
      <c r="Y149" s="285"/>
      <c r="Z149" s="285"/>
      <c r="AA149" s="285"/>
      <c r="AB149" s="285"/>
      <c r="AC149" s="285"/>
      <c r="AD149" s="285"/>
      <c r="AE149" s="287"/>
      <c r="AF149" s="287"/>
      <c r="AG149" s="287"/>
    </row>
    <row r="150" spans="1:33">
      <c r="A150" s="250" t="s">
        <v>571</v>
      </c>
      <c r="B150" s="251" t="s">
        <v>562</v>
      </c>
      <c r="C150" s="250"/>
      <c r="D150" s="250"/>
      <c r="E150" s="261"/>
      <c r="F150" s="286"/>
      <c r="G150" s="286"/>
      <c r="H150" s="286"/>
      <c r="I150" s="286"/>
      <c r="J150" s="286"/>
      <c r="K150" s="286"/>
      <c r="L150" s="286"/>
      <c r="M150" s="286"/>
      <c r="N150" s="286"/>
      <c r="O150" s="286"/>
      <c r="P150" s="286"/>
      <c r="Q150" s="254"/>
      <c r="R150" s="285"/>
      <c r="S150" s="285"/>
      <c r="T150" s="285"/>
      <c r="U150" s="285"/>
      <c r="V150" s="285"/>
      <c r="W150" s="285"/>
      <c r="X150" s="285"/>
      <c r="Y150" s="285"/>
      <c r="Z150" s="285"/>
      <c r="AA150" s="285"/>
      <c r="AB150" s="285"/>
      <c r="AC150" s="285"/>
      <c r="AD150" s="285"/>
      <c r="AE150" s="287"/>
      <c r="AF150" s="287"/>
      <c r="AG150" s="287"/>
    </row>
    <row r="151" spans="1:33">
      <c r="A151" s="250" t="s">
        <v>571</v>
      </c>
      <c r="B151" s="251" t="s">
        <v>563</v>
      </c>
      <c r="C151" s="250"/>
      <c r="D151" s="250"/>
      <c r="E151" s="261"/>
      <c r="F151" s="286"/>
      <c r="G151" s="286"/>
      <c r="H151" s="286"/>
      <c r="I151" s="286"/>
      <c r="J151" s="286"/>
      <c r="K151" s="286"/>
      <c r="L151" s="286"/>
      <c r="M151" s="286"/>
      <c r="N151" s="286"/>
      <c r="O151" s="286"/>
      <c r="P151" s="286"/>
      <c r="Q151" s="286"/>
      <c r="R151" s="254"/>
      <c r="S151" s="285"/>
      <c r="T151" s="285"/>
      <c r="U151" s="285"/>
      <c r="V151" s="285"/>
      <c r="W151" s="285"/>
      <c r="X151" s="285"/>
      <c r="Y151" s="285"/>
      <c r="Z151" s="285"/>
      <c r="AA151" s="285"/>
      <c r="AB151" s="285"/>
      <c r="AC151" s="285"/>
      <c r="AD151" s="285"/>
      <c r="AE151" s="287"/>
      <c r="AF151" s="287"/>
      <c r="AG151" s="287"/>
    </row>
    <row r="152" spans="1:33">
      <c r="A152" s="250" t="s">
        <v>571</v>
      </c>
      <c r="B152" s="251" t="s">
        <v>564</v>
      </c>
      <c r="C152" s="250"/>
      <c r="D152" s="250"/>
      <c r="E152" s="261"/>
      <c r="F152" s="286"/>
      <c r="G152" s="286"/>
      <c r="H152" s="286"/>
      <c r="I152" s="286"/>
      <c r="J152" s="286"/>
      <c r="K152" s="286"/>
      <c r="L152" s="286"/>
      <c r="M152" s="286"/>
      <c r="N152" s="286"/>
      <c r="O152" s="286"/>
      <c r="P152" s="286"/>
      <c r="Q152" s="286"/>
      <c r="R152" s="286"/>
      <c r="S152" s="254"/>
      <c r="T152" s="285"/>
      <c r="U152" s="285"/>
      <c r="V152" s="285"/>
      <c r="W152" s="285"/>
      <c r="X152" s="285"/>
      <c r="Y152" s="285"/>
      <c r="Z152" s="285"/>
      <c r="AA152" s="285"/>
      <c r="AB152" s="285"/>
      <c r="AC152" s="285"/>
      <c r="AD152" s="285"/>
      <c r="AE152" s="287"/>
      <c r="AF152" s="287"/>
      <c r="AG152" s="287"/>
    </row>
    <row r="153" spans="1:33">
      <c r="A153" s="250" t="s">
        <v>571</v>
      </c>
      <c r="B153" s="251" t="s">
        <v>565</v>
      </c>
      <c r="C153" s="253"/>
      <c r="D153" s="250"/>
      <c r="E153" s="261"/>
      <c r="F153" s="286"/>
      <c r="G153" s="286"/>
      <c r="H153" s="286"/>
      <c r="I153" s="286"/>
      <c r="J153" s="286"/>
      <c r="K153" s="286"/>
      <c r="L153" s="286"/>
      <c r="M153" s="286"/>
      <c r="N153" s="286"/>
      <c r="O153" s="286"/>
      <c r="P153" s="286"/>
      <c r="Q153" s="286"/>
      <c r="R153" s="286"/>
      <c r="S153" s="286"/>
      <c r="T153" s="254"/>
      <c r="U153" s="285"/>
      <c r="V153" s="285"/>
      <c r="W153" s="285"/>
      <c r="X153" s="285"/>
      <c r="Y153" s="285"/>
      <c r="Z153" s="285"/>
      <c r="AA153" s="285"/>
      <c r="AB153" s="285"/>
      <c r="AC153" s="285"/>
      <c r="AD153" s="285"/>
      <c r="AE153" s="287"/>
      <c r="AF153" s="287"/>
      <c r="AG153" s="287"/>
    </row>
    <row r="154" spans="1:33">
      <c r="A154" s="250" t="s">
        <v>571</v>
      </c>
      <c r="B154" s="251" t="s">
        <v>566</v>
      </c>
      <c r="C154" s="253"/>
      <c r="D154" s="250"/>
      <c r="E154" s="261"/>
      <c r="F154" s="286"/>
      <c r="G154" s="286"/>
      <c r="H154" s="286"/>
      <c r="I154" s="286"/>
      <c r="J154" s="286"/>
      <c r="K154" s="286"/>
      <c r="L154" s="286"/>
      <c r="M154" s="286"/>
      <c r="N154" s="286"/>
      <c r="O154" s="286"/>
      <c r="P154" s="286"/>
      <c r="Q154" s="286"/>
      <c r="R154" s="286"/>
      <c r="S154" s="286"/>
      <c r="T154" s="286"/>
      <c r="U154" s="254"/>
      <c r="V154" s="285"/>
      <c r="W154" s="285"/>
      <c r="X154" s="285"/>
      <c r="Y154" s="285"/>
      <c r="Z154" s="285"/>
      <c r="AA154" s="285"/>
      <c r="AB154" s="285"/>
      <c r="AC154" s="285"/>
      <c r="AD154" s="285"/>
      <c r="AE154" s="287"/>
      <c r="AF154" s="287"/>
      <c r="AG154" s="287"/>
    </row>
    <row r="155" spans="1:33">
      <c r="A155" s="250" t="s">
        <v>571</v>
      </c>
      <c r="B155" s="251" t="s">
        <v>567</v>
      </c>
      <c r="C155" s="253"/>
      <c r="D155" s="253"/>
      <c r="E155" s="261"/>
      <c r="F155" s="286"/>
      <c r="G155" s="286"/>
      <c r="H155" s="286"/>
      <c r="I155" s="286"/>
      <c r="J155" s="286"/>
      <c r="K155" s="286"/>
      <c r="L155" s="286"/>
      <c r="M155" s="286"/>
      <c r="N155" s="286"/>
      <c r="O155" s="286"/>
      <c r="P155" s="286"/>
      <c r="Q155" s="286"/>
      <c r="R155" s="286"/>
      <c r="S155" s="286"/>
      <c r="T155" s="286"/>
      <c r="U155" s="286"/>
      <c r="V155" s="254"/>
      <c r="W155" s="285"/>
      <c r="X155" s="285"/>
      <c r="Y155" s="285"/>
      <c r="Z155" s="285"/>
      <c r="AA155" s="285"/>
      <c r="AB155" s="285"/>
      <c r="AC155" s="285"/>
      <c r="AD155" s="285"/>
      <c r="AE155" s="287"/>
      <c r="AF155" s="287"/>
      <c r="AG155" s="287"/>
    </row>
    <row r="156" spans="1:33">
      <c r="A156" s="250" t="s">
        <v>571</v>
      </c>
      <c r="B156" s="251" t="s">
        <v>568</v>
      </c>
      <c r="C156" s="253"/>
      <c r="D156" s="253"/>
      <c r="E156" s="261"/>
      <c r="F156" s="286"/>
      <c r="G156" s="286"/>
      <c r="H156" s="286"/>
      <c r="I156" s="286"/>
      <c r="J156" s="286"/>
      <c r="K156" s="286"/>
      <c r="L156" s="286"/>
      <c r="M156" s="286"/>
      <c r="N156" s="286"/>
      <c r="O156" s="286"/>
      <c r="P156" s="286"/>
      <c r="Q156" s="286"/>
      <c r="R156" s="286"/>
      <c r="S156" s="286"/>
      <c r="T156" s="286"/>
      <c r="U156" s="286"/>
      <c r="V156" s="286"/>
      <c r="W156" s="254"/>
      <c r="X156" s="285"/>
      <c r="Y156" s="285"/>
      <c r="Z156" s="285"/>
      <c r="AA156" s="285"/>
      <c r="AB156" s="285"/>
      <c r="AC156" s="285"/>
      <c r="AD156" s="285"/>
      <c r="AE156" s="287"/>
      <c r="AF156" s="287"/>
      <c r="AG156" s="287"/>
    </row>
    <row r="157" spans="1:33">
      <c r="A157" s="250" t="s">
        <v>571</v>
      </c>
      <c r="B157" s="251" t="s">
        <v>569</v>
      </c>
      <c r="C157" s="253"/>
      <c r="D157" s="253"/>
      <c r="E157" s="261"/>
      <c r="F157" s="286"/>
      <c r="G157" s="286"/>
      <c r="H157" s="286"/>
      <c r="I157" s="286"/>
      <c r="J157" s="286"/>
      <c r="K157" s="286"/>
      <c r="L157" s="286"/>
      <c r="M157" s="286"/>
      <c r="N157" s="286"/>
      <c r="O157" s="286"/>
      <c r="P157" s="286"/>
      <c r="Q157" s="286"/>
      <c r="R157" s="286"/>
      <c r="S157" s="286"/>
      <c r="T157" s="286"/>
      <c r="U157" s="286"/>
      <c r="V157" s="286"/>
      <c r="W157" s="286"/>
      <c r="X157" s="254"/>
      <c r="Y157" s="285"/>
      <c r="Z157" s="285"/>
      <c r="AA157" s="285"/>
      <c r="AB157" s="285"/>
      <c r="AC157" s="285"/>
      <c r="AD157" s="285"/>
      <c r="AE157" s="287"/>
      <c r="AF157" s="287"/>
      <c r="AG157" s="287"/>
    </row>
    <row r="158" spans="1:33">
      <c r="A158" s="250" t="s">
        <v>571</v>
      </c>
      <c r="B158" s="251" t="s">
        <v>572</v>
      </c>
      <c r="C158" s="253"/>
      <c r="D158" s="253"/>
      <c r="E158" s="262"/>
      <c r="F158" s="286"/>
      <c r="G158" s="286"/>
      <c r="H158" s="286"/>
      <c r="I158" s="286"/>
      <c r="J158" s="286"/>
      <c r="K158" s="286"/>
      <c r="L158" s="286"/>
      <c r="M158" s="286"/>
      <c r="N158" s="286"/>
      <c r="O158" s="286"/>
      <c r="P158" s="286"/>
      <c r="Q158" s="286"/>
      <c r="R158" s="286"/>
      <c r="S158" s="286"/>
      <c r="T158" s="286"/>
      <c r="U158" s="286"/>
      <c r="V158" s="286"/>
      <c r="W158" s="286"/>
      <c r="X158" s="286"/>
      <c r="Y158" s="254"/>
      <c r="Z158" s="285"/>
      <c r="AA158" s="285"/>
      <c r="AB158" s="285"/>
      <c r="AC158" s="285"/>
      <c r="AD158" s="285"/>
      <c r="AE158" s="287"/>
      <c r="AF158" s="287"/>
      <c r="AG158" s="287"/>
    </row>
    <row r="159" spans="1:33">
      <c r="A159" s="250" t="s">
        <v>571</v>
      </c>
      <c r="B159" t="s">
        <v>573</v>
      </c>
      <c r="C159" s="253"/>
      <c r="D159" s="253"/>
      <c r="E159" s="262"/>
      <c r="F159" s="286"/>
      <c r="G159" s="286"/>
      <c r="H159" s="286"/>
      <c r="I159" s="286"/>
      <c r="J159" s="286"/>
      <c r="K159" s="286"/>
      <c r="L159" s="286"/>
      <c r="M159" s="286"/>
      <c r="N159" s="286"/>
      <c r="O159" s="286"/>
      <c r="P159" s="286"/>
      <c r="Q159" s="286"/>
      <c r="R159" s="286"/>
      <c r="S159" s="286"/>
      <c r="T159" s="286"/>
      <c r="U159" s="286"/>
      <c r="V159" s="286"/>
      <c r="W159" s="286"/>
      <c r="X159" s="286"/>
      <c r="Y159" s="286"/>
      <c r="Z159" s="254"/>
      <c r="AA159" s="285"/>
      <c r="AB159" s="285"/>
      <c r="AC159" s="285"/>
      <c r="AD159" s="285"/>
      <c r="AE159" s="287"/>
      <c r="AF159" s="287"/>
      <c r="AG159" s="287"/>
    </row>
    <row r="160" spans="1:33">
      <c r="A160" s="250" t="s">
        <v>571</v>
      </c>
      <c r="B160" t="s">
        <v>574</v>
      </c>
      <c r="C160" s="253"/>
      <c r="D160" s="253"/>
      <c r="E160" s="262"/>
      <c r="F160" s="286"/>
      <c r="G160" s="286"/>
      <c r="H160" s="286"/>
      <c r="I160" s="286"/>
      <c r="J160" s="286"/>
      <c r="K160" s="286"/>
      <c r="L160" s="286"/>
      <c r="M160" s="286"/>
      <c r="N160" s="286"/>
      <c r="O160" s="286"/>
      <c r="P160" s="286"/>
      <c r="Q160" s="286"/>
      <c r="R160" s="286"/>
      <c r="S160" s="286"/>
      <c r="T160" s="286"/>
      <c r="U160" s="286"/>
      <c r="V160" s="286"/>
      <c r="W160" s="286"/>
      <c r="X160" s="286"/>
      <c r="Y160" s="286"/>
      <c r="Z160" s="286"/>
      <c r="AA160" s="254"/>
      <c r="AB160" s="285"/>
      <c r="AC160" s="285"/>
      <c r="AD160" s="285"/>
      <c r="AE160" s="287"/>
      <c r="AF160" s="287"/>
      <c r="AG160" s="287"/>
    </row>
    <row r="161" spans="1:33">
      <c r="A161" s="250" t="s">
        <v>571</v>
      </c>
      <c r="B161" t="s">
        <v>575</v>
      </c>
      <c r="C161" s="253"/>
      <c r="D161" s="253"/>
      <c r="E161" s="262"/>
      <c r="F161" s="286"/>
      <c r="G161" s="286"/>
      <c r="H161" s="286"/>
      <c r="I161" s="286"/>
      <c r="J161" s="286"/>
      <c r="K161" s="286"/>
      <c r="L161" s="286"/>
      <c r="M161" s="286"/>
      <c r="N161" s="286"/>
      <c r="O161" s="286"/>
      <c r="P161" s="286"/>
      <c r="Q161" s="286"/>
      <c r="R161" s="286"/>
      <c r="S161" s="286"/>
      <c r="T161" s="286"/>
      <c r="U161" s="286"/>
      <c r="V161" s="286"/>
      <c r="W161" s="286"/>
      <c r="X161" s="286"/>
      <c r="Y161" s="286"/>
      <c r="Z161" s="286"/>
      <c r="AA161" s="286"/>
      <c r="AB161" s="254"/>
      <c r="AC161" s="285"/>
      <c r="AD161" s="285"/>
      <c r="AE161" s="287"/>
      <c r="AF161" s="287"/>
      <c r="AG161" s="287"/>
    </row>
    <row r="162" spans="1:33">
      <c r="A162" s="250" t="s">
        <v>571</v>
      </c>
      <c r="B162" t="s">
        <v>576</v>
      </c>
      <c r="C162" s="253"/>
      <c r="D162" s="253"/>
      <c r="E162" s="262"/>
      <c r="F162" s="286"/>
      <c r="G162" s="286"/>
      <c r="H162" s="286"/>
      <c r="I162" s="286"/>
      <c r="J162" s="286"/>
      <c r="K162" s="286"/>
      <c r="L162" s="286"/>
      <c r="M162" s="286"/>
      <c r="N162" s="286"/>
      <c r="O162" s="286"/>
      <c r="P162" s="286"/>
      <c r="Q162" s="286"/>
      <c r="R162" s="286"/>
      <c r="S162" s="286"/>
      <c r="T162" s="286"/>
      <c r="U162" s="286"/>
      <c r="V162" s="286"/>
      <c r="W162" s="286"/>
      <c r="X162" s="286"/>
      <c r="Y162" s="286"/>
      <c r="Z162" s="286"/>
      <c r="AA162" s="286"/>
      <c r="AB162" s="286"/>
      <c r="AC162" s="254"/>
      <c r="AD162" s="285"/>
      <c r="AE162" s="287"/>
      <c r="AF162" s="287"/>
      <c r="AG162" s="287"/>
    </row>
    <row r="163" spans="1:33">
      <c r="A163" s="250" t="s">
        <v>571</v>
      </c>
      <c r="B163" t="s">
        <v>577</v>
      </c>
      <c r="C163" s="253"/>
      <c r="D163" s="253"/>
      <c r="E163" s="262"/>
      <c r="F163" s="286"/>
      <c r="G163" s="286"/>
      <c r="H163" s="286"/>
      <c r="I163" s="286"/>
      <c r="J163" s="286"/>
      <c r="K163" s="286"/>
      <c r="L163" s="286"/>
      <c r="M163" s="286"/>
      <c r="N163" s="286"/>
      <c r="O163" s="286"/>
      <c r="P163" s="286"/>
      <c r="Q163" s="286"/>
      <c r="R163" s="286"/>
      <c r="S163" s="286"/>
      <c r="T163" s="286"/>
      <c r="U163" s="286"/>
      <c r="V163" s="286"/>
      <c r="W163" s="286"/>
      <c r="X163" s="286"/>
      <c r="Y163" s="286"/>
      <c r="Z163" s="286"/>
      <c r="AA163" s="286"/>
      <c r="AB163" s="286"/>
      <c r="AC163" s="286"/>
      <c r="AD163" s="254"/>
      <c r="AE163" s="287"/>
      <c r="AF163" s="287"/>
      <c r="AG163" s="287"/>
    </row>
    <row r="164" spans="1:33">
      <c r="A164" s="255"/>
      <c r="B164" s="256" t="s">
        <v>235</v>
      </c>
      <c r="C164" s="257"/>
      <c r="D164" s="257"/>
      <c r="E164" s="257"/>
      <c r="F164" s="257"/>
      <c r="G164" s="257"/>
      <c r="H164" s="257"/>
      <c r="I164" s="257"/>
      <c r="J164" s="257"/>
      <c r="K164" s="257"/>
      <c r="L164" s="257"/>
      <c r="M164" s="257"/>
      <c r="N164" s="257"/>
      <c r="O164" s="257"/>
      <c r="P164" s="257"/>
      <c r="Q164" s="257"/>
      <c r="R164" s="257"/>
      <c r="S164" s="257"/>
      <c r="T164" s="257"/>
      <c r="U164" s="257"/>
      <c r="V164" s="257"/>
      <c r="W164" s="257"/>
      <c r="X164" s="257"/>
      <c r="Y164" s="257"/>
      <c r="Z164" s="257"/>
      <c r="AA164" s="257"/>
      <c r="AB164" s="257"/>
      <c r="AC164" s="257"/>
      <c r="AD164" s="257"/>
      <c r="AE164" s="257"/>
      <c r="AF164" s="257"/>
      <c r="AG164" s="257"/>
    </row>
    <row r="165" spans="1:33">
      <c r="C165" s="265"/>
    </row>
    <row r="168" spans="1:33">
      <c r="B168" s="245" t="s">
        <v>583</v>
      </c>
      <c r="K168" s="283" t="s">
        <v>56</v>
      </c>
    </row>
    <row r="169" spans="1:33" ht="25.5">
      <c r="A169" s="246"/>
      <c r="B169" s="247" t="s">
        <v>543</v>
      </c>
      <c r="C169" s="1057" t="s">
        <v>579</v>
      </c>
      <c r="D169" s="1057" t="s">
        <v>545</v>
      </c>
      <c r="E169" s="1057" t="s">
        <v>546</v>
      </c>
      <c r="F169" s="1054" t="s">
        <v>547</v>
      </c>
      <c r="G169" s="1055"/>
      <c r="H169" s="1055"/>
      <c r="I169" s="1055"/>
      <c r="J169" s="1055"/>
      <c r="K169" s="1055"/>
      <c r="L169" s="1055"/>
      <c r="M169" s="1055"/>
      <c r="N169" s="1055"/>
      <c r="O169" s="1055"/>
      <c r="P169" s="1055"/>
      <c r="Q169" s="1055"/>
      <c r="R169" s="1055"/>
      <c r="S169" s="1055"/>
      <c r="T169" s="1055"/>
      <c r="U169" s="1055"/>
      <c r="V169" s="1055"/>
      <c r="W169" s="1055"/>
      <c r="X169" s="1055"/>
      <c r="Y169" s="1055"/>
      <c r="Z169" s="1055"/>
      <c r="AA169" s="1055"/>
      <c r="AB169" s="1055"/>
      <c r="AC169" s="1055"/>
      <c r="AD169" s="1056"/>
      <c r="AE169" s="284" t="s">
        <v>548</v>
      </c>
      <c r="AF169" s="284" t="s">
        <v>549</v>
      </c>
      <c r="AG169" s="284" t="s">
        <v>550</v>
      </c>
    </row>
    <row r="170" spans="1:33">
      <c r="A170" s="246"/>
      <c r="B170" s="247"/>
      <c r="C170" s="1058"/>
      <c r="D170" s="1058"/>
      <c r="E170" s="1058"/>
      <c r="F170" s="249" t="s">
        <v>551</v>
      </c>
      <c r="G170" s="249" t="s">
        <v>552</v>
      </c>
      <c r="H170" s="249" t="s">
        <v>553</v>
      </c>
      <c r="I170" s="249" t="s">
        <v>554</v>
      </c>
      <c r="J170" s="249" t="s">
        <v>555</v>
      </c>
      <c r="K170" s="249" t="s">
        <v>556</v>
      </c>
      <c r="L170" s="249" t="s">
        <v>557</v>
      </c>
      <c r="M170" s="249" t="s">
        <v>558</v>
      </c>
      <c r="N170" s="249" t="s">
        <v>559</v>
      </c>
      <c r="O170" s="249" t="s">
        <v>560</v>
      </c>
      <c r="P170" s="249" t="s">
        <v>561</v>
      </c>
      <c r="Q170" s="249" t="s">
        <v>562</v>
      </c>
      <c r="R170" s="249" t="s">
        <v>563</v>
      </c>
      <c r="S170" s="249" t="s">
        <v>564</v>
      </c>
      <c r="T170" s="249" t="s">
        <v>565</v>
      </c>
      <c r="U170" s="249" t="s">
        <v>566</v>
      </c>
      <c r="V170" s="249" t="s">
        <v>567</v>
      </c>
      <c r="W170" s="249" t="s">
        <v>568</v>
      </c>
      <c r="X170" s="249" t="s">
        <v>569</v>
      </c>
      <c r="Y170" s="249" t="s">
        <v>60</v>
      </c>
      <c r="Z170" s="249" t="s">
        <v>70</v>
      </c>
      <c r="AA170" s="249" t="s">
        <v>71</v>
      </c>
      <c r="AB170" s="249" t="s">
        <v>72</v>
      </c>
      <c r="AC170" s="249" t="s">
        <v>73</v>
      </c>
      <c r="AD170" s="249" t="s">
        <v>74</v>
      </c>
      <c r="AE170" s="284"/>
      <c r="AF170" s="284"/>
      <c r="AG170" s="284"/>
    </row>
    <row r="171" spans="1:33">
      <c r="A171" s="250" t="s">
        <v>570</v>
      </c>
      <c r="B171" s="251">
        <v>2005</v>
      </c>
      <c r="C171" s="250"/>
      <c r="D171" s="250"/>
      <c r="E171" s="261"/>
      <c r="F171" s="253"/>
      <c r="G171" s="253"/>
      <c r="H171" s="253"/>
      <c r="I171" s="253"/>
      <c r="J171" s="253"/>
      <c r="K171" s="285"/>
      <c r="L171" s="285"/>
      <c r="M171" s="285"/>
      <c r="N171" s="285"/>
      <c r="O171" s="285"/>
      <c r="P171" s="285"/>
      <c r="Q171" s="285"/>
      <c r="R171" s="285"/>
      <c r="S171" s="285"/>
      <c r="T171" s="285"/>
      <c r="U171" s="285"/>
      <c r="V171" s="285"/>
      <c r="W171" s="285"/>
      <c r="X171" s="285"/>
      <c r="Y171" s="285"/>
      <c r="Z171" s="285"/>
      <c r="AA171" s="285"/>
      <c r="AB171" s="285"/>
      <c r="AC171" s="285"/>
      <c r="AD171" s="285"/>
      <c r="AE171" s="287"/>
      <c r="AF171" s="287"/>
      <c r="AG171" s="287"/>
    </row>
    <row r="172" spans="1:33">
      <c r="A172" s="250" t="s">
        <v>571</v>
      </c>
      <c r="B172" s="251" t="s">
        <v>551</v>
      </c>
      <c r="C172" s="250"/>
      <c r="D172" s="250"/>
      <c r="E172" s="261"/>
      <c r="F172" s="254"/>
      <c r="G172" s="285"/>
      <c r="H172" s="285"/>
      <c r="I172" s="285"/>
      <c r="J172" s="285"/>
      <c r="K172" s="285"/>
      <c r="L172" s="285"/>
      <c r="M172" s="285"/>
      <c r="N172" s="285"/>
      <c r="O172" s="285"/>
      <c r="P172" s="285"/>
      <c r="Q172" s="285"/>
      <c r="R172" s="285"/>
      <c r="S172" s="285"/>
      <c r="T172" s="285"/>
      <c r="U172" s="285"/>
      <c r="V172" s="285"/>
      <c r="W172" s="285"/>
      <c r="X172" s="285"/>
      <c r="Y172" s="285"/>
      <c r="Z172" s="285"/>
      <c r="AA172" s="285"/>
      <c r="AB172" s="285"/>
      <c r="AC172" s="285"/>
      <c r="AD172" s="285"/>
      <c r="AE172" s="287"/>
      <c r="AF172" s="287"/>
      <c r="AG172" s="287"/>
    </row>
    <row r="173" spans="1:33">
      <c r="A173" s="250" t="s">
        <v>571</v>
      </c>
      <c r="B173" s="251" t="s">
        <v>552</v>
      </c>
      <c r="C173" s="250"/>
      <c r="D173" s="250"/>
      <c r="E173" s="261"/>
      <c r="F173" s="286"/>
      <c r="G173" s="254"/>
      <c r="H173" s="285"/>
      <c r="I173" s="285"/>
      <c r="J173" s="285"/>
      <c r="K173" s="285"/>
      <c r="L173" s="285"/>
      <c r="M173" s="285"/>
      <c r="N173" s="285"/>
      <c r="O173" s="285"/>
      <c r="P173" s="285"/>
      <c r="Q173" s="285"/>
      <c r="R173" s="285"/>
      <c r="S173" s="285"/>
      <c r="T173" s="285"/>
      <c r="U173" s="285"/>
      <c r="V173" s="285"/>
      <c r="W173" s="285"/>
      <c r="X173" s="285"/>
      <c r="Y173" s="285"/>
      <c r="Z173" s="285"/>
      <c r="AA173" s="285"/>
      <c r="AB173" s="285"/>
      <c r="AC173" s="285"/>
      <c r="AD173" s="285"/>
      <c r="AE173" s="287"/>
      <c r="AF173" s="287"/>
      <c r="AG173" s="287"/>
    </row>
    <row r="174" spans="1:33">
      <c r="A174" s="250" t="s">
        <v>571</v>
      </c>
      <c r="B174" s="251" t="s">
        <v>553</v>
      </c>
      <c r="C174" s="250"/>
      <c r="D174" s="250"/>
      <c r="E174" s="261"/>
      <c r="F174" s="286"/>
      <c r="G174" s="286"/>
      <c r="H174" s="254"/>
      <c r="I174" s="285"/>
      <c r="J174" s="285"/>
      <c r="K174" s="285"/>
      <c r="L174" s="285"/>
      <c r="M174" s="285"/>
      <c r="N174" s="285"/>
      <c r="O174" s="285"/>
      <c r="P174" s="285"/>
      <c r="Q174" s="285"/>
      <c r="R174" s="285"/>
      <c r="S174" s="285"/>
      <c r="T174" s="285"/>
      <c r="U174" s="285"/>
      <c r="V174" s="285"/>
      <c r="W174" s="285"/>
      <c r="X174" s="285"/>
      <c r="Y174" s="285"/>
      <c r="Z174" s="285"/>
      <c r="AA174" s="285"/>
      <c r="AB174" s="285"/>
      <c r="AC174" s="285"/>
      <c r="AD174" s="285"/>
      <c r="AE174" s="287"/>
      <c r="AF174" s="287"/>
      <c r="AG174" s="287"/>
    </row>
    <row r="175" spans="1:33">
      <c r="A175" s="250" t="s">
        <v>571</v>
      </c>
      <c r="B175" s="251" t="s">
        <v>554</v>
      </c>
      <c r="C175" s="250"/>
      <c r="D175" s="250"/>
      <c r="E175" s="261"/>
      <c r="F175" s="286"/>
      <c r="G175" s="286"/>
      <c r="H175" s="286"/>
      <c r="I175" s="254"/>
      <c r="J175" s="285"/>
      <c r="K175" s="285"/>
      <c r="L175" s="285"/>
      <c r="M175" s="285"/>
      <c r="N175" s="285"/>
      <c r="O175" s="285"/>
      <c r="P175" s="285"/>
      <c r="Q175" s="285"/>
      <c r="R175" s="285"/>
      <c r="S175" s="285"/>
      <c r="T175" s="285"/>
      <c r="U175" s="285"/>
      <c r="V175" s="285"/>
      <c r="W175" s="285"/>
      <c r="X175" s="285"/>
      <c r="Y175" s="285"/>
      <c r="Z175" s="285"/>
      <c r="AA175" s="285"/>
      <c r="AB175" s="285"/>
      <c r="AC175" s="285"/>
      <c r="AD175" s="285"/>
      <c r="AE175" s="287"/>
      <c r="AF175" s="287"/>
      <c r="AG175" s="287"/>
    </row>
    <row r="176" spans="1:33">
      <c r="A176" s="250" t="s">
        <v>571</v>
      </c>
      <c r="B176" s="251" t="s">
        <v>555</v>
      </c>
      <c r="C176" s="250"/>
      <c r="D176" s="250"/>
      <c r="E176" s="261"/>
      <c r="F176" s="286"/>
      <c r="G176" s="286"/>
      <c r="H176" s="286"/>
      <c r="I176" s="286"/>
      <c r="J176" s="254"/>
      <c r="K176" s="285"/>
      <c r="L176" s="285"/>
      <c r="M176" s="285"/>
      <c r="N176" s="285"/>
      <c r="O176" s="285"/>
      <c r="P176" s="285"/>
      <c r="Q176" s="285"/>
      <c r="R176" s="285"/>
      <c r="S176" s="285"/>
      <c r="T176" s="285"/>
      <c r="U176" s="285"/>
      <c r="V176" s="285"/>
      <c r="W176" s="285"/>
      <c r="X176" s="285"/>
      <c r="Y176" s="285"/>
      <c r="Z176" s="285"/>
      <c r="AA176" s="285"/>
      <c r="AB176" s="285"/>
      <c r="AC176" s="285"/>
      <c r="AD176" s="285"/>
      <c r="AE176" s="287"/>
      <c r="AF176" s="287"/>
      <c r="AG176" s="287"/>
    </row>
    <row r="177" spans="1:33">
      <c r="A177" s="250" t="s">
        <v>571</v>
      </c>
      <c r="B177" s="251" t="s">
        <v>556</v>
      </c>
      <c r="C177" s="250"/>
      <c r="D177" s="250"/>
      <c r="E177" s="261"/>
      <c r="F177" s="286"/>
      <c r="G177" s="286"/>
      <c r="H177" s="286"/>
      <c r="I177" s="286"/>
      <c r="J177" s="286"/>
      <c r="K177" s="254"/>
      <c r="L177" s="285"/>
      <c r="M177" s="285"/>
      <c r="N177" s="285"/>
      <c r="O177" s="285"/>
      <c r="P177" s="285"/>
      <c r="Q177" s="285"/>
      <c r="R177" s="285"/>
      <c r="S177" s="285"/>
      <c r="T177" s="285"/>
      <c r="U177" s="285"/>
      <c r="V177" s="285"/>
      <c r="W177" s="285"/>
      <c r="X177" s="285"/>
      <c r="Y177" s="285"/>
      <c r="Z177" s="285"/>
      <c r="AA177" s="285"/>
      <c r="AB177" s="285"/>
      <c r="AC177" s="285"/>
      <c r="AD177" s="285"/>
      <c r="AE177" s="287"/>
      <c r="AF177" s="287"/>
      <c r="AG177" s="287"/>
    </row>
    <row r="178" spans="1:33">
      <c r="A178" s="250" t="s">
        <v>571</v>
      </c>
      <c r="B178" s="251" t="s">
        <v>557</v>
      </c>
      <c r="C178" s="250"/>
      <c r="D178" s="250"/>
      <c r="E178" s="261"/>
      <c r="F178" s="286"/>
      <c r="G178" s="286"/>
      <c r="H178" s="286"/>
      <c r="I178" s="286"/>
      <c r="J178" s="286"/>
      <c r="K178" s="286"/>
      <c r="L178" s="254"/>
      <c r="M178" s="285"/>
      <c r="N178" s="285"/>
      <c r="O178" s="285"/>
      <c r="P178" s="285"/>
      <c r="Q178" s="285"/>
      <c r="R178" s="285"/>
      <c r="S178" s="285"/>
      <c r="T178" s="285"/>
      <c r="U178" s="285"/>
      <c r="V178" s="285"/>
      <c r="W178" s="285"/>
      <c r="X178" s="285"/>
      <c r="Y178" s="285"/>
      <c r="Z178" s="285"/>
      <c r="AA178" s="285"/>
      <c r="AB178" s="285"/>
      <c r="AC178" s="285"/>
      <c r="AD178" s="285"/>
      <c r="AE178" s="287"/>
      <c r="AF178" s="287"/>
      <c r="AG178" s="287"/>
    </row>
    <row r="179" spans="1:33">
      <c r="A179" s="250" t="s">
        <v>571</v>
      </c>
      <c r="B179" s="251" t="s">
        <v>558</v>
      </c>
      <c r="C179" s="250"/>
      <c r="D179" s="250"/>
      <c r="E179" s="261"/>
      <c r="F179" s="286"/>
      <c r="G179" s="286"/>
      <c r="H179" s="286"/>
      <c r="I179" s="286"/>
      <c r="J179" s="286"/>
      <c r="K179" s="286"/>
      <c r="L179" s="286"/>
      <c r="M179" s="254"/>
      <c r="N179" s="285"/>
      <c r="O179" s="285"/>
      <c r="P179" s="285"/>
      <c r="Q179" s="285"/>
      <c r="R179" s="285"/>
      <c r="S179" s="285"/>
      <c r="T179" s="285"/>
      <c r="U179" s="285"/>
      <c r="V179" s="285"/>
      <c r="W179" s="285"/>
      <c r="X179" s="285"/>
      <c r="Y179" s="285"/>
      <c r="Z179" s="285"/>
      <c r="AA179" s="285"/>
      <c r="AB179" s="285"/>
      <c r="AC179" s="285"/>
      <c r="AD179" s="285"/>
      <c r="AE179" s="287"/>
      <c r="AF179" s="287"/>
      <c r="AG179" s="287"/>
    </row>
    <row r="180" spans="1:33">
      <c r="A180" s="250" t="s">
        <v>571</v>
      </c>
      <c r="B180" s="251" t="s">
        <v>559</v>
      </c>
      <c r="C180" s="250"/>
      <c r="D180" s="250"/>
      <c r="E180" s="261"/>
      <c r="F180" s="286"/>
      <c r="G180" s="286"/>
      <c r="H180" s="286"/>
      <c r="I180" s="286"/>
      <c r="J180" s="286"/>
      <c r="K180" s="286"/>
      <c r="L180" s="286"/>
      <c r="M180" s="286"/>
      <c r="N180" s="254"/>
      <c r="O180" s="285"/>
      <c r="P180" s="285"/>
      <c r="Q180" s="285"/>
      <c r="R180" s="285"/>
      <c r="S180" s="285"/>
      <c r="T180" s="285"/>
      <c r="U180" s="285"/>
      <c r="V180" s="285"/>
      <c r="W180" s="285"/>
      <c r="X180" s="285"/>
      <c r="Y180" s="285"/>
      <c r="Z180" s="285"/>
      <c r="AA180" s="285"/>
      <c r="AB180" s="285"/>
      <c r="AC180" s="285"/>
      <c r="AD180" s="285"/>
      <c r="AE180" s="287"/>
      <c r="AF180" s="287"/>
      <c r="AG180" s="287"/>
    </row>
    <row r="181" spans="1:33">
      <c r="A181" s="250" t="s">
        <v>571</v>
      </c>
      <c r="B181" s="251" t="s">
        <v>560</v>
      </c>
      <c r="C181" s="250"/>
      <c r="D181" s="250"/>
      <c r="E181" s="261"/>
      <c r="F181" s="286"/>
      <c r="G181" s="286"/>
      <c r="H181" s="286"/>
      <c r="I181" s="286"/>
      <c r="J181" s="286"/>
      <c r="K181" s="286"/>
      <c r="L181" s="286"/>
      <c r="M181" s="286"/>
      <c r="N181" s="286"/>
      <c r="O181" s="254"/>
      <c r="P181" s="285"/>
      <c r="Q181" s="285"/>
      <c r="R181" s="285"/>
      <c r="S181" s="285"/>
      <c r="T181" s="285"/>
      <c r="U181" s="285"/>
      <c r="V181" s="285"/>
      <c r="W181" s="285"/>
      <c r="X181" s="285"/>
      <c r="Y181" s="285"/>
      <c r="Z181" s="285"/>
      <c r="AA181" s="285"/>
      <c r="AB181" s="285"/>
      <c r="AC181" s="285"/>
      <c r="AD181" s="285"/>
      <c r="AE181" s="287"/>
      <c r="AF181" s="287"/>
      <c r="AG181" s="287"/>
    </row>
    <row r="182" spans="1:33">
      <c r="A182" s="250" t="s">
        <v>571</v>
      </c>
      <c r="B182" s="251" t="s">
        <v>561</v>
      </c>
      <c r="C182" s="250"/>
      <c r="D182" s="250"/>
      <c r="E182" s="261"/>
      <c r="F182" s="286"/>
      <c r="G182" s="286"/>
      <c r="H182" s="286"/>
      <c r="I182" s="286"/>
      <c r="J182" s="286"/>
      <c r="K182" s="286"/>
      <c r="L182" s="286"/>
      <c r="M182" s="286"/>
      <c r="N182" s="286"/>
      <c r="O182" s="286"/>
      <c r="P182" s="254"/>
      <c r="Q182" s="285"/>
      <c r="R182" s="285"/>
      <c r="S182" s="285"/>
      <c r="T182" s="285"/>
      <c r="U182" s="285"/>
      <c r="V182" s="285"/>
      <c r="W182" s="285"/>
      <c r="X182" s="285"/>
      <c r="Y182" s="285"/>
      <c r="Z182" s="285"/>
      <c r="AA182" s="285"/>
      <c r="AB182" s="285"/>
      <c r="AC182" s="285"/>
      <c r="AD182" s="285"/>
      <c r="AE182" s="287"/>
      <c r="AF182" s="287"/>
      <c r="AG182" s="287"/>
    </row>
    <row r="183" spans="1:33">
      <c r="A183" s="250" t="s">
        <v>571</v>
      </c>
      <c r="B183" s="251" t="s">
        <v>562</v>
      </c>
      <c r="C183" s="250"/>
      <c r="D183" s="250"/>
      <c r="E183" s="261"/>
      <c r="F183" s="286"/>
      <c r="G183" s="286"/>
      <c r="H183" s="286"/>
      <c r="I183" s="286"/>
      <c r="J183" s="286"/>
      <c r="K183" s="286"/>
      <c r="L183" s="286"/>
      <c r="M183" s="286"/>
      <c r="N183" s="286"/>
      <c r="O183" s="286"/>
      <c r="P183" s="286"/>
      <c r="Q183" s="254"/>
      <c r="R183" s="285"/>
      <c r="S183" s="285"/>
      <c r="T183" s="285"/>
      <c r="U183" s="285"/>
      <c r="V183" s="285"/>
      <c r="W183" s="285"/>
      <c r="X183" s="285"/>
      <c r="Y183" s="285"/>
      <c r="Z183" s="285"/>
      <c r="AA183" s="285"/>
      <c r="AB183" s="285"/>
      <c r="AC183" s="285"/>
      <c r="AD183" s="285"/>
      <c r="AE183" s="287"/>
      <c r="AF183" s="287"/>
      <c r="AG183" s="287"/>
    </row>
    <row r="184" spans="1:33">
      <c r="A184" s="250" t="s">
        <v>571</v>
      </c>
      <c r="B184" s="251" t="s">
        <v>563</v>
      </c>
      <c r="C184" s="250"/>
      <c r="D184" s="250"/>
      <c r="E184" s="261"/>
      <c r="F184" s="286"/>
      <c r="G184" s="286"/>
      <c r="H184" s="286"/>
      <c r="I184" s="286"/>
      <c r="J184" s="286"/>
      <c r="K184" s="286"/>
      <c r="L184" s="286"/>
      <c r="M184" s="286"/>
      <c r="N184" s="286"/>
      <c r="O184" s="286"/>
      <c r="P184" s="286"/>
      <c r="Q184" s="286"/>
      <c r="R184" s="254"/>
      <c r="S184" s="285"/>
      <c r="T184" s="285"/>
      <c r="U184" s="285"/>
      <c r="V184" s="285"/>
      <c r="W184" s="285"/>
      <c r="X184" s="285"/>
      <c r="Y184" s="285"/>
      <c r="Z184" s="285"/>
      <c r="AA184" s="285"/>
      <c r="AB184" s="285"/>
      <c r="AC184" s="285"/>
      <c r="AD184" s="285"/>
      <c r="AE184" s="287"/>
      <c r="AF184" s="287"/>
      <c r="AG184" s="287"/>
    </row>
    <row r="185" spans="1:33">
      <c r="A185" s="250" t="s">
        <v>571</v>
      </c>
      <c r="B185" s="251" t="s">
        <v>564</v>
      </c>
      <c r="C185" s="250"/>
      <c r="D185" s="250"/>
      <c r="E185" s="261"/>
      <c r="F185" s="286"/>
      <c r="G185" s="286"/>
      <c r="H185" s="286"/>
      <c r="I185" s="286"/>
      <c r="J185" s="286"/>
      <c r="K185" s="286"/>
      <c r="L185" s="286"/>
      <c r="M185" s="286"/>
      <c r="N185" s="286"/>
      <c r="O185" s="286"/>
      <c r="P185" s="286"/>
      <c r="Q185" s="286"/>
      <c r="R185" s="286"/>
      <c r="S185" s="254"/>
      <c r="T185" s="285"/>
      <c r="U185" s="285"/>
      <c r="V185" s="285"/>
      <c r="W185" s="285"/>
      <c r="X185" s="285"/>
      <c r="Y185" s="285"/>
      <c r="Z185" s="285"/>
      <c r="AA185" s="285"/>
      <c r="AB185" s="285"/>
      <c r="AC185" s="285"/>
      <c r="AD185" s="285"/>
      <c r="AE185" s="287"/>
      <c r="AF185" s="287"/>
      <c r="AG185" s="287"/>
    </row>
    <row r="186" spans="1:33">
      <c r="A186" s="250" t="s">
        <v>571</v>
      </c>
      <c r="B186" s="251" t="s">
        <v>565</v>
      </c>
      <c r="C186" s="253"/>
      <c r="D186" s="250"/>
      <c r="E186" s="261"/>
      <c r="F186" s="286"/>
      <c r="G186" s="286"/>
      <c r="H186" s="286"/>
      <c r="I186" s="286"/>
      <c r="J186" s="286"/>
      <c r="K186" s="286"/>
      <c r="L186" s="286"/>
      <c r="M186" s="286"/>
      <c r="N186" s="286"/>
      <c r="O186" s="286"/>
      <c r="P186" s="286"/>
      <c r="Q186" s="286"/>
      <c r="R186" s="286"/>
      <c r="S186" s="286"/>
      <c r="T186" s="254"/>
      <c r="U186" s="285"/>
      <c r="V186" s="285"/>
      <c r="W186" s="285"/>
      <c r="X186" s="285"/>
      <c r="Y186" s="285"/>
      <c r="Z186" s="285"/>
      <c r="AA186" s="285"/>
      <c r="AB186" s="285"/>
      <c r="AC186" s="285"/>
      <c r="AD186" s="285"/>
      <c r="AE186" s="287"/>
      <c r="AF186" s="287"/>
      <c r="AG186" s="287"/>
    </row>
    <row r="187" spans="1:33">
      <c r="A187" s="250" t="s">
        <v>571</v>
      </c>
      <c r="B187" s="251" t="s">
        <v>566</v>
      </c>
      <c r="C187" s="253"/>
      <c r="D187" s="250"/>
      <c r="E187" s="261"/>
      <c r="F187" s="286"/>
      <c r="G187" s="286"/>
      <c r="H187" s="286"/>
      <c r="I187" s="286"/>
      <c r="J187" s="286"/>
      <c r="K187" s="286"/>
      <c r="L187" s="286"/>
      <c r="M187" s="286"/>
      <c r="N187" s="286"/>
      <c r="O187" s="286"/>
      <c r="P187" s="286"/>
      <c r="Q187" s="286"/>
      <c r="R187" s="286"/>
      <c r="S187" s="286"/>
      <c r="T187" s="286"/>
      <c r="U187" s="254"/>
      <c r="V187" s="285"/>
      <c r="W187" s="285"/>
      <c r="X187" s="285"/>
      <c r="Y187" s="285"/>
      <c r="Z187" s="285"/>
      <c r="AA187" s="285"/>
      <c r="AB187" s="285"/>
      <c r="AC187" s="285"/>
      <c r="AD187" s="285"/>
      <c r="AE187" s="287"/>
      <c r="AF187" s="287"/>
      <c r="AG187" s="287"/>
    </row>
    <row r="188" spans="1:33">
      <c r="A188" s="250" t="s">
        <v>571</v>
      </c>
      <c r="B188" s="251" t="s">
        <v>567</v>
      </c>
      <c r="C188" s="253"/>
      <c r="D188" s="253"/>
      <c r="E188" s="261"/>
      <c r="F188" s="286"/>
      <c r="G188" s="286"/>
      <c r="H188" s="286"/>
      <c r="I188" s="286"/>
      <c r="J188" s="286"/>
      <c r="K188" s="286"/>
      <c r="L188" s="286"/>
      <c r="M188" s="286"/>
      <c r="N188" s="286"/>
      <c r="O188" s="286"/>
      <c r="P188" s="286"/>
      <c r="Q188" s="286"/>
      <c r="R188" s="286"/>
      <c r="S188" s="286"/>
      <c r="T188" s="286"/>
      <c r="U188" s="286"/>
      <c r="V188" s="254"/>
      <c r="W188" s="285"/>
      <c r="X188" s="285"/>
      <c r="Y188" s="285"/>
      <c r="Z188" s="285"/>
      <c r="AA188" s="285"/>
      <c r="AB188" s="285"/>
      <c r="AC188" s="285"/>
      <c r="AD188" s="285"/>
      <c r="AE188" s="287"/>
      <c r="AF188" s="287"/>
      <c r="AG188" s="287"/>
    </row>
    <row r="189" spans="1:33">
      <c r="A189" s="250" t="s">
        <v>571</v>
      </c>
      <c r="B189" s="251" t="s">
        <v>568</v>
      </c>
      <c r="C189" s="253"/>
      <c r="D189" s="253"/>
      <c r="E189" s="261"/>
      <c r="F189" s="286"/>
      <c r="G189" s="286"/>
      <c r="H189" s="286"/>
      <c r="I189" s="286"/>
      <c r="J189" s="286"/>
      <c r="K189" s="286"/>
      <c r="L189" s="286"/>
      <c r="M189" s="286"/>
      <c r="N189" s="286"/>
      <c r="O189" s="286"/>
      <c r="P189" s="286"/>
      <c r="Q189" s="286"/>
      <c r="R189" s="286"/>
      <c r="S189" s="286"/>
      <c r="T189" s="286"/>
      <c r="U189" s="286"/>
      <c r="V189" s="286"/>
      <c r="W189" s="254"/>
      <c r="X189" s="285"/>
      <c r="Y189" s="285"/>
      <c r="Z189" s="285"/>
      <c r="AA189" s="285"/>
      <c r="AB189" s="285"/>
      <c r="AC189" s="285"/>
      <c r="AD189" s="285"/>
      <c r="AE189" s="287"/>
      <c r="AF189" s="287"/>
      <c r="AG189" s="287"/>
    </row>
    <row r="190" spans="1:33">
      <c r="A190" s="250" t="s">
        <v>571</v>
      </c>
      <c r="B190" s="251" t="s">
        <v>569</v>
      </c>
      <c r="C190" s="253"/>
      <c r="D190" s="253"/>
      <c r="E190" s="261"/>
      <c r="F190" s="286"/>
      <c r="G190" s="286"/>
      <c r="H190" s="286"/>
      <c r="I190" s="286"/>
      <c r="J190" s="286"/>
      <c r="K190" s="286"/>
      <c r="L190" s="286"/>
      <c r="M190" s="286"/>
      <c r="N190" s="286"/>
      <c r="O190" s="286"/>
      <c r="P190" s="286"/>
      <c r="Q190" s="286"/>
      <c r="R190" s="286"/>
      <c r="S190" s="286"/>
      <c r="T190" s="286"/>
      <c r="U190" s="286"/>
      <c r="V190" s="286"/>
      <c r="W190" s="286"/>
      <c r="X190" s="254"/>
      <c r="Y190" s="285"/>
      <c r="Z190" s="285"/>
      <c r="AA190" s="285"/>
      <c r="AB190" s="285"/>
      <c r="AC190" s="285"/>
      <c r="AD190" s="285"/>
      <c r="AE190" s="287"/>
      <c r="AF190" s="287"/>
      <c r="AG190" s="287"/>
    </row>
    <row r="191" spans="1:33">
      <c r="A191" s="250" t="s">
        <v>571</v>
      </c>
      <c r="B191" s="251" t="s">
        <v>572</v>
      </c>
      <c r="C191" s="288"/>
      <c r="D191" s="253"/>
      <c r="E191" s="261"/>
      <c r="F191" s="286"/>
      <c r="G191" s="286"/>
      <c r="H191" s="286"/>
      <c r="I191" s="286"/>
      <c r="J191" s="286"/>
      <c r="K191" s="286"/>
      <c r="L191" s="286"/>
      <c r="M191" s="286"/>
      <c r="N191" s="286"/>
      <c r="O191" s="286"/>
      <c r="P191" s="286"/>
      <c r="Q191" s="286"/>
      <c r="R191" s="286"/>
      <c r="S191" s="286"/>
      <c r="T191" s="286"/>
      <c r="U191" s="286"/>
      <c r="V191" s="286"/>
      <c r="W191" s="286"/>
      <c r="X191" s="286"/>
      <c r="Y191" s="254"/>
      <c r="Z191" s="285"/>
      <c r="AA191" s="285"/>
      <c r="AB191" s="285"/>
      <c r="AC191" s="285"/>
      <c r="AD191" s="285"/>
      <c r="AE191" s="287"/>
      <c r="AF191" s="287"/>
      <c r="AG191" s="287"/>
    </row>
    <row r="192" spans="1:33">
      <c r="A192" s="250" t="s">
        <v>571</v>
      </c>
      <c r="B192" t="s">
        <v>573</v>
      </c>
      <c r="C192" s="253"/>
      <c r="D192" s="253"/>
      <c r="E192" s="261"/>
      <c r="F192" s="286"/>
      <c r="G192" s="286"/>
      <c r="H192" s="286"/>
      <c r="I192" s="286"/>
      <c r="J192" s="286"/>
      <c r="K192" s="286"/>
      <c r="L192" s="286"/>
      <c r="M192" s="286"/>
      <c r="N192" s="286"/>
      <c r="O192" s="286"/>
      <c r="P192" s="286"/>
      <c r="Q192" s="286"/>
      <c r="R192" s="286"/>
      <c r="S192" s="286"/>
      <c r="T192" s="286"/>
      <c r="U192" s="286"/>
      <c r="V192" s="286"/>
      <c r="W192" s="286"/>
      <c r="X192" s="286"/>
      <c r="Y192" s="286"/>
      <c r="Z192" s="254"/>
      <c r="AA192" s="285"/>
      <c r="AB192" s="285"/>
      <c r="AC192" s="285"/>
      <c r="AD192" s="285"/>
      <c r="AE192" s="287"/>
      <c r="AF192" s="287"/>
      <c r="AG192" s="287"/>
    </row>
    <row r="193" spans="1:33">
      <c r="A193" s="250" t="s">
        <v>571</v>
      </c>
      <c r="B193" t="s">
        <v>574</v>
      </c>
      <c r="C193" s="253"/>
      <c r="D193" s="253"/>
      <c r="E193" s="261"/>
      <c r="F193" s="286"/>
      <c r="G193" s="286"/>
      <c r="H193" s="286"/>
      <c r="I193" s="286"/>
      <c r="J193" s="286"/>
      <c r="K193" s="286"/>
      <c r="L193" s="286"/>
      <c r="M193" s="286"/>
      <c r="N193" s="286"/>
      <c r="O193" s="286"/>
      <c r="P193" s="286"/>
      <c r="Q193" s="286"/>
      <c r="R193" s="286"/>
      <c r="S193" s="286"/>
      <c r="T193" s="286"/>
      <c r="U193" s="286"/>
      <c r="V193" s="286"/>
      <c r="W193" s="286"/>
      <c r="X193" s="286"/>
      <c r="Y193" s="286"/>
      <c r="Z193" s="286"/>
      <c r="AA193" s="254"/>
      <c r="AB193" s="285"/>
      <c r="AC193" s="285"/>
      <c r="AD193" s="285"/>
      <c r="AE193" s="287"/>
      <c r="AF193" s="287"/>
      <c r="AG193" s="287"/>
    </row>
    <row r="194" spans="1:33">
      <c r="A194" s="250" t="s">
        <v>571</v>
      </c>
      <c r="B194" t="s">
        <v>575</v>
      </c>
      <c r="C194" s="253"/>
      <c r="D194" s="253"/>
      <c r="E194" s="261"/>
      <c r="F194" s="286"/>
      <c r="G194" s="286"/>
      <c r="H194" s="286"/>
      <c r="I194" s="286"/>
      <c r="J194" s="286"/>
      <c r="K194" s="286"/>
      <c r="L194" s="286"/>
      <c r="M194" s="286"/>
      <c r="N194" s="286"/>
      <c r="O194" s="286"/>
      <c r="P194" s="286"/>
      <c r="Q194" s="286"/>
      <c r="R194" s="286"/>
      <c r="S194" s="286"/>
      <c r="T194" s="286"/>
      <c r="U194" s="286"/>
      <c r="V194" s="286"/>
      <c r="W194" s="286"/>
      <c r="X194" s="286"/>
      <c r="Y194" s="286"/>
      <c r="Z194" s="286"/>
      <c r="AA194" s="286"/>
      <c r="AB194" s="254"/>
      <c r="AC194" s="285"/>
      <c r="AD194" s="285"/>
      <c r="AE194" s="287"/>
      <c r="AF194" s="287"/>
      <c r="AG194" s="287"/>
    </row>
    <row r="195" spans="1:33">
      <c r="A195" s="250" t="s">
        <v>571</v>
      </c>
      <c r="B195" t="s">
        <v>576</v>
      </c>
      <c r="C195" s="253"/>
      <c r="D195" s="253"/>
      <c r="E195" s="261"/>
      <c r="F195" s="286"/>
      <c r="G195" s="286"/>
      <c r="H195" s="286"/>
      <c r="I195" s="286"/>
      <c r="J195" s="286"/>
      <c r="K195" s="286"/>
      <c r="L195" s="286"/>
      <c r="M195" s="286"/>
      <c r="N195" s="286"/>
      <c r="O195" s="286"/>
      <c r="P195" s="286"/>
      <c r="Q195" s="286"/>
      <c r="R195" s="286"/>
      <c r="S195" s="286"/>
      <c r="T195" s="286"/>
      <c r="U195" s="286"/>
      <c r="V195" s="286"/>
      <c r="W195" s="286"/>
      <c r="X195" s="286"/>
      <c r="Y195" s="286"/>
      <c r="Z195" s="286"/>
      <c r="AA195" s="286"/>
      <c r="AB195" s="286"/>
      <c r="AC195" s="254"/>
      <c r="AD195" s="285"/>
      <c r="AE195" s="287"/>
      <c r="AF195" s="287"/>
      <c r="AG195" s="287"/>
    </row>
    <row r="196" spans="1:33">
      <c r="A196" s="250" t="s">
        <v>571</v>
      </c>
      <c r="B196" t="s">
        <v>577</v>
      </c>
      <c r="C196" s="253"/>
      <c r="D196" s="253"/>
      <c r="E196" s="261"/>
      <c r="F196" s="286"/>
      <c r="G196" s="286"/>
      <c r="H196" s="286"/>
      <c r="I196" s="286"/>
      <c r="J196" s="286"/>
      <c r="K196" s="286"/>
      <c r="L196" s="286"/>
      <c r="M196" s="286"/>
      <c r="N196" s="286"/>
      <c r="O196" s="286"/>
      <c r="P196" s="286"/>
      <c r="Q196" s="286"/>
      <c r="R196" s="286"/>
      <c r="S196" s="286"/>
      <c r="T196" s="286"/>
      <c r="U196" s="286"/>
      <c r="V196" s="286"/>
      <c r="W196" s="286"/>
      <c r="X196" s="286"/>
      <c r="Y196" s="286"/>
      <c r="Z196" s="286"/>
      <c r="AA196" s="286"/>
      <c r="AB196" s="286"/>
      <c r="AC196" s="286"/>
      <c r="AD196" s="254"/>
      <c r="AE196" s="287"/>
      <c r="AF196" s="287"/>
      <c r="AG196" s="287"/>
    </row>
    <row r="197" spans="1:33">
      <c r="A197" s="255" t="s">
        <v>584</v>
      </c>
      <c r="B197" s="256" t="s">
        <v>235</v>
      </c>
      <c r="C197" s="257"/>
      <c r="D197" s="257"/>
      <c r="E197" s="257"/>
      <c r="F197" s="257"/>
      <c r="G197" s="257"/>
      <c r="H197" s="257"/>
      <c r="I197" s="257"/>
      <c r="J197" s="257"/>
      <c r="K197" s="257"/>
      <c r="L197" s="257"/>
      <c r="M197" s="257"/>
      <c r="N197" s="257"/>
      <c r="O197" s="257"/>
      <c r="P197" s="257"/>
      <c r="Q197" s="257"/>
      <c r="R197" s="257"/>
      <c r="S197" s="257"/>
      <c r="T197" s="257"/>
      <c r="U197" s="257"/>
      <c r="V197" s="257"/>
      <c r="W197" s="257"/>
      <c r="X197" s="257"/>
      <c r="Y197" s="257"/>
      <c r="Z197" s="257"/>
      <c r="AA197" s="257"/>
      <c r="AB197" s="257"/>
      <c r="AC197" s="257"/>
      <c r="AD197" s="257"/>
      <c r="AE197" s="257"/>
      <c r="AF197" s="257"/>
      <c r="AG197" s="257"/>
    </row>
    <row r="198" spans="1:33">
      <c r="C198" s="265"/>
    </row>
    <row r="199" spans="1:33">
      <c r="C199" s="258"/>
    </row>
    <row r="201" spans="1:33">
      <c r="B201" s="245" t="s">
        <v>585</v>
      </c>
      <c r="K201" s="283" t="s">
        <v>56</v>
      </c>
    </row>
    <row r="202" spans="1:33" ht="25.5">
      <c r="A202" s="246"/>
      <c r="B202" s="247" t="s">
        <v>543</v>
      </c>
      <c r="C202" s="1057" t="s">
        <v>579</v>
      </c>
      <c r="D202" s="1057" t="s">
        <v>545</v>
      </c>
      <c r="E202" s="1057" t="s">
        <v>546</v>
      </c>
      <c r="F202" s="1054" t="s">
        <v>547</v>
      </c>
      <c r="G202" s="1055"/>
      <c r="H202" s="1055"/>
      <c r="I202" s="1055"/>
      <c r="J202" s="1055"/>
      <c r="K202" s="1055"/>
      <c r="L202" s="1055"/>
      <c r="M202" s="1055"/>
      <c r="N202" s="1055"/>
      <c r="O202" s="1055"/>
      <c r="P202" s="1055"/>
      <c r="Q202" s="1055"/>
      <c r="R202" s="1055"/>
      <c r="S202" s="1055"/>
      <c r="T202" s="1055"/>
      <c r="U202" s="1055"/>
      <c r="V202" s="1055"/>
      <c r="W202" s="1055"/>
      <c r="X202" s="1055"/>
      <c r="Y202" s="1055"/>
      <c r="Z202" s="1055"/>
      <c r="AA202" s="1055"/>
      <c r="AB202" s="1055"/>
      <c r="AC202" s="1055"/>
      <c r="AD202" s="1056"/>
      <c r="AE202" s="284" t="s">
        <v>548</v>
      </c>
      <c r="AF202" s="284" t="s">
        <v>549</v>
      </c>
      <c r="AG202" s="284" t="s">
        <v>550</v>
      </c>
    </row>
    <row r="203" spans="1:33">
      <c r="A203" s="246"/>
      <c r="B203" s="247"/>
      <c r="C203" s="1058"/>
      <c r="D203" s="1058"/>
      <c r="E203" s="1058"/>
      <c r="F203" s="249" t="s">
        <v>551</v>
      </c>
      <c r="G203" s="249" t="s">
        <v>552</v>
      </c>
      <c r="H203" s="249" t="s">
        <v>553</v>
      </c>
      <c r="I203" s="249" t="s">
        <v>554</v>
      </c>
      <c r="J203" s="249" t="s">
        <v>555</v>
      </c>
      <c r="K203" s="249" t="s">
        <v>556</v>
      </c>
      <c r="L203" s="249" t="s">
        <v>557</v>
      </c>
      <c r="M203" s="249" t="s">
        <v>558</v>
      </c>
      <c r="N203" s="249" t="s">
        <v>559</v>
      </c>
      <c r="O203" s="249" t="s">
        <v>560</v>
      </c>
      <c r="P203" s="249" t="s">
        <v>561</v>
      </c>
      <c r="Q203" s="249" t="s">
        <v>562</v>
      </c>
      <c r="R203" s="249" t="s">
        <v>563</v>
      </c>
      <c r="S203" s="249" t="s">
        <v>564</v>
      </c>
      <c r="T203" s="249" t="s">
        <v>565</v>
      </c>
      <c r="U203" s="249" t="s">
        <v>566</v>
      </c>
      <c r="V203" s="249" t="s">
        <v>567</v>
      </c>
      <c r="W203" s="249" t="s">
        <v>568</v>
      </c>
      <c r="X203" s="249" t="s">
        <v>569</v>
      </c>
      <c r="Y203" s="249" t="s">
        <v>60</v>
      </c>
      <c r="Z203" s="249" t="s">
        <v>70</v>
      </c>
      <c r="AA203" s="249" t="s">
        <v>71</v>
      </c>
      <c r="AB203" s="249" t="s">
        <v>72</v>
      </c>
      <c r="AC203" s="249" t="s">
        <v>73</v>
      </c>
      <c r="AD203" s="249" t="s">
        <v>74</v>
      </c>
      <c r="AE203" s="284"/>
      <c r="AF203" s="284"/>
      <c r="AG203" s="284"/>
    </row>
    <row r="204" spans="1:33">
      <c r="A204" s="250" t="s">
        <v>570</v>
      </c>
      <c r="B204" s="251">
        <v>2005</v>
      </c>
      <c r="C204" s="250"/>
      <c r="D204" s="250"/>
      <c r="E204" s="261"/>
      <c r="F204" s="253"/>
      <c r="G204" s="253"/>
      <c r="H204" s="253"/>
      <c r="I204" s="253"/>
      <c r="J204" s="253"/>
      <c r="K204" s="285"/>
      <c r="L204" s="285"/>
      <c r="M204" s="285"/>
      <c r="N204" s="285"/>
      <c r="O204" s="285"/>
      <c r="P204" s="285"/>
      <c r="Q204" s="285"/>
      <c r="R204" s="285"/>
      <c r="S204" s="285"/>
      <c r="T204" s="285"/>
      <c r="U204" s="285"/>
      <c r="V204" s="285"/>
      <c r="W204" s="285"/>
      <c r="X204" s="285"/>
      <c r="Y204" s="285"/>
      <c r="Z204" s="285"/>
      <c r="AA204" s="285"/>
      <c r="AB204" s="285"/>
      <c r="AC204" s="285"/>
      <c r="AD204" s="285"/>
      <c r="AE204" s="287"/>
      <c r="AF204" s="287"/>
      <c r="AG204" s="287"/>
    </row>
    <row r="205" spans="1:33">
      <c r="A205" s="250" t="s">
        <v>571</v>
      </c>
      <c r="B205" s="251" t="s">
        <v>551</v>
      </c>
      <c r="C205" s="250"/>
      <c r="D205" s="250"/>
      <c r="E205" s="261"/>
      <c r="F205" s="254"/>
      <c r="G205" s="285"/>
      <c r="H205" s="285"/>
      <c r="I205" s="285"/>
      <c r="J205" s="285"/>
      <c r="K205" s="285"/>
      <c r="L205" s="285"/>
      <c r="M205" s="285"/>
      <c r="N205" s="285"/>
      <c r="O205" s="285"/>
      <c r="P205" s="285"/>
      <c r="Q205" s="285"/>
      <c r="R205" s="285"/>
      <c r="S205" s="285"/>
      <c r="T205" s="285"/>
      <c r="U205" s="285"/>
      <c r="V205" s="285"/>
      <c r="W205" s="285"/>
      <c r="X205" s="285"/>
      <c r="Y205" s="285"/>
      <c r="Z205" s="285"/>
      <c r="AA205" s="285"/>
      <c r="AB205" s="285"/>
      <c r="AC205" s="285"/>
      <c r="AD205" s="285"/>
      <c r="AE205" s="287"/>
      <c r="AF205" s="287"/>
      <c r="AG205" s="287"/>
    </row>
    <row r="206" spans="1:33">
      <c r="A206" s="250" t="s">
        <v>571</v>
      </c>
      <c r="B206" s="251" t="s">
        <v>552</v>
      </c>
      <c r="C206" s="250"/>
      <c r="D206" s="250"/>
      <c r="E206" s="261"/>
      <c r="F206" s="286"/>
      <c r="G206" s="254"/>
      <c r="H206" s="285"/>
      <c r="I206" s="285"/>
      <c r="J206" s="285"/>
      <c r="K206" s="285"/>
      <c r="L206" s="285"/>
      <c r="M206" s="285"/>
      <c r="N206" s="285"/>
      <c r="O206" s="285"/>
      <c r="P206" s="285"/>
      <c r="Q206" s="285"/>
      <c r="R206" s="285"/>
      <c r="S206" s="285"/>
      <c r="T206" s="285"/>
      <c r="U206" s="285"/>
      <c r="V206" s="285"/>
      <c r="W206" s="285"/>
      <c r="X206" s="285"/>
      <c r="Y206" s="285"/>
      <c r="Z206" s="285"/>
      <c r="AA206" s="285"/>
      <c r="AB206" s="285"/>
      <c r="AC206" s="285"/>
      <c r="AD206" s="285"/>
      <c r="AE206" s="287"/>
      <c r="AF206" s="287"/>
      <c r="AG206" s="287"/>
    </row>
    <row r="207" spans="1:33">
      <c r="A207" s="250" t="s">
        <v>571</v>
      </c>
      <c r="B207" s="251" t="s">
        <v>553</v>
      </c>
      <c r="C207" s="250"/>
      <c r="D207" s="250"/>
      <c r="E207" s="261"/>
      <c r="F207" s="286"/>
      <c r="G207" s="286"/>
      <c r="H207" s="254"/>
      <c r="I207" s="285"/>
      <c r="J207" s="285"/>
      <c r="K207" s="285"/>
      <c r="L207" s="285"/>
      <c r="M207" s="285"/>
      <c r="N207" s="285"/>
      <c r="O207" s="285"/>
      <c r="P207" s="285"/>
      <c r="Q207" s="285"/>
      <c r="R207" s="285"/>
      <c r="S207" s="285"/>
      <c r="T207" s="285"/>
      <c r="U207" s="285"/>
      <c r="V207" s="285"/>
      <c r="W207" s="285"/>
      <c r="X207" s="285"/>
      <c r="Y207" s="285"/>
      <c r="Z207" s="285"/>
      <c r="AA207" s="285"/>
      <c r="AB207" s="285"/>
      <c r="AC207" s="285"/>
      <c r="AD207" s="285"/>
      <c r="AE207" s="287"/>
      <c r="AF207" s="287"/>
      <c r="AG207" s="287"/>
    </row>
    <row r="208" spans="1:33">
      <c r="A208" s="250" t="s">
        <v>571</v>
      </c>
      <c r="B208" s="251" t="s">
        <v>554</v>
      </c>
      <c r="C208" s="250"/>
      <c r="D208" s="250"/>
      <c r="E208" s="261"/>
      <c r="F208" s="286"/>
      <c r="G208" s="286"/>
      <c r="H208" s="286"/>
      <c r="I208" s="254"/>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7"/>
      <c r="AF208" s="287"/>
      <c r="AG208" s="287"/>
    </row>
    <row r="209" spans="1:33">
      <c r="A209" s="250" t="s">
        <v>571</v>
      </c>
      <c r="B209" s="251" t="s">
        <v>555</v>
      </c>
      <c r="C209" s="250"/>
      <c r="D209" s="250"/>
      <c r="E209" s="261"/>
      <c r="F209" s="286"/>
      <c r="G209" s="286"/>
      <c r="H209" s="286"/>
      <c r="I209" s="286"/>
      <c r="J209" s="254"/>
      <c r="K209" s="285"/>
      <c r="L209" s="285"/>
      <c r="M209" s="285"/>
      <c r="N209" s="285"/>
      <c r="O209" s="285"/>
      <c r="P209" s="285"/>
      <c r="Q209" s="285"/>
      <c r="R209" s="285"/>
      <c r="S209" s="285"/>
      <c r="T209" s="285"/>
      <c r="U209" s="285"/>
      <c r="V209" s="285"/>
      <c r="W209" s="285"/>
      <c r="X209" s="285"/>
      <c r="Y209" s="285"/>
      <c r="Z209" s="285"/>
      <c r="AA209" s="285"/>
      <c r="AB209" s="285"/>
      <c r="AC209" s="285"/>
      <c r="AD209" s="285"/>
      <c r="AE209" s="287"/>
      <c r="AF209" s="287"/>
      <c r="AG209" s="287"/>
    </row>
    <row r="210" spans="1:33">
      <c r="A210" s="250" t="s">
        <v>571</v>
      </c>
      <c r="B210" s="251" t="s">
        <v>556</v>
      </c>
      <c r="C210" s="250"/>
      <c r="D210" s="250"/>
      <c r="E210" s="261"/>
      <c r="F210" s="286"/>
      <c r="G210" s="286"/>
      <c r="H210" s="286"/>
      <c r="I210" s="286"/>
      <c r="J210" s="286"/>
      <c r="K210" s="254"/>
      <c r="L210" s="285"/>
      <c r="M210" s="285"/>
      <c r="N210" s="285"/>
      <c r="O210" s="285"/>
      <c r="P210" s="285"/>
      <c r="Q210" s="285"/>
      <c r="R210" s="285"/>
      <c r="S210" s="285"/>
      <c r="T210" s="285"/>
      <c r="U210" s="285"/>
      <c r="V210" s="285"/>
      <c r="W210" s="285"/>
      <c r="X210" s="285"/>
      <c r="Y210" s="285"/>
      <c r="Z210" s="285"/>
      <c r="AA210" s="285"/>
      <c r="AB210" s="285"/>
      <c r="AC210" s="285"/>
      <c r="AD210" s="285"/>
      <c r="AE210" s="287"/>
      <c r="AF210" s="287"/>
      <c r="AG210" s="287"/>
    </row>
    <row r="211" spans="1:33">
      <c r="A211" s="250" t="s">
        <v>571</v>
      </c>
      <c r="B211" s="251" t="s">
        <v>557</v>
      </c>
      <c r="C211" s="250"/>
      <c r="D211" s="250"/>
      <c r="E211" s="261"/>
      <c r="F211" s="286"/>
      <c r="G211" s="286"/>
      <c r="H211" s="286"/>
      <c r="I211" s="286"/>
      <c r="J211" s="286"/>
      <c r="K211" s="286"/>
      <c r="L211" s="254"/>
      <c r="M211" s="285"/>
      <c r="N211" s="285"/>
      <c r="O211" s="285"/>
      <c r="P211" s="285"/>
      <c r="Q211" s="285"/>
      <c r="R211" s="285"/>
      <c r="S211" s="285"/>
      <c r="T211" s="285"/>
      <c r="U211" s="285"/>
      <c r="V211" s="285"/>
      <c r="W211" s="285"/>
      <c r="X211" s="285"/>
      <c r="Y211" s="285"/>
      <c r="Z211" s="285"/>
      <c r="AA211" s="285"/>
      <c r="AB211" s="285"/>
      <c r="AC211" s="285"/>
      <c r="AD211" s="285"/>
      <c r="AE211" s="287"/>
      <c r="AF211" s="287"/>
      <c r="AG211" s="287"/>
    </row>
    <row r="212" spans="1:33">
      <c r="A212" s="250" t="s">
        <v>571</v>
      </c>
      <c r="B212" s="251" t="s">
        <v>558</v>
      </c>
      <c r="C212" s="250"/>
      <c r="D212" s="250"/>
      <c r="E212" s="261"/>
      <c r="F212" s="286"/>
      <c r="G212" s="286"/>
      <c r="H212" s="286"/>
      <c r="I212" s="286"/>
      <c r="J212" s="286"/>
      <c r="K212" s="286"/>
      <c r="L212" s="286"/>
      <c r="M212" s="254"/>
      <c r="N212" s="285"/>
      <c r="O212" s="285"/>
      <c r="P212" s="285"/>
      <c r="Q212" s="285"/>
      <c r="R212" s="285"/>
      <c r="S212" s="285"/>
      <c r="T212" s="285"/>
      <c r="U212" s="285"/>
      <c r="V212" s="285"/>
      <c r="W212" s="285"/>
      <c r="X212" s="285"/>
      <c r="Y212" s="285"/>
      <c r="Z212" s="285"/>
      <c r="AA212" s="285"/>
      <c r="AB212" s="285"/>
      <c r="AC212" s="285"/>
      <c r="AD212" s="285"/>
      <c r="AE212" s="287"/>
      <c r="AF212" s="287"/>
      <c r="AG212" s="287"/>
    </row>
    <row r="213" spans="1:33">
      <c r="A213" s="250" t="s">
        <v>571</v>
      </c>
      <c r="B213" s="251" t="s">
        <v>559</v>
      </c>
      <c r="C213" s="250"/>
      <c r="D213" s="250"/>
      <c r="E213" s="261"/>
      <c r="F213" s="286"/>
      <c r="G213" s="286"/>
      <c r="H213" s="286"/>
      <c r="I213" s="286"/>
      <c r="J213" s="286"/>
      <c r="K213" s="286"/>
      <c r="L213" s="286"/>
      <c r="M213" s="286"/>
      <c r="N213" s="254"/>
      <c r="O213" s="285"/>
      <c r="P213" s="285"/>
      <c r="Q213" s="285"/>
      <c r="R213" s="285"/>
      <c r="S213" s="285"/>
      <c r="T213" s="285"/>
      <c r="U213" s="285"/>
      <c r="V213" s="285"/>
      <c r="W213" s="285"/>
      <c r="X213" s="285"/>
      <c r="Y213" s="285"/>
      <c r="Z213" s="285"/>
      <c r="AA213" s="285"/>
      <c r="AB213" s="285"/>
      <c r="AC213" s="285"/>
      <c r="AD213" s="285"/>
      <c r="AE213" s="287"/>
      <c r="AF213" s="287"/>
      <c r="AG213" s="287"/>
    </row>
    <row r="214" spans="1:33">
      <c r="A214" s="250" t="s">
        <v>571</v>
      </c>
      <c r="B214" s="251" t="s">
        <v>560</v>
      </c>
      <c r="C214" s="250"/>
      <c r="D214" s="250"/>
      <c r="E214" s="261"/>
      <c r="F214" s="286"/>
      <c r="G214" s="286"/>
      <c r="H214" s="286"/>
      <c r="I214" s="286"/>
      <c r="J214" s="286"/>
      <c r="K214" s="286"/>
      <c r="L214" s="286"/>
      <c r="M214" s="286"/>
      <c r="N214" s="286"/>
      <c r="O214" s="254"/>
      <c r="P214" s="285"/>
      <c r="Q214" s="285"/>
      <c r="R214" s="285"/>
      <c r="S214" s="285"/>
      <c r="T214" s="285"/>
      <c r="U214" s="285"/>
      <c r="V214" s="285"/>
      <c r="W214" s="285"/>
      <c r="X214" s="285"/>
      <c r="Y214" s="285"/>
      <c r="Z214" s="285"/>
      <c r="AA214" s="285"/>
      <c r="AB214" s="285"/>
      <c r="AC214" s="285"/>
      <c r="AD214" s="285"/>
      <c r="AE214" s="287"/>
      <c r="AF214" s="287"/>
      <c r="AG214" s="287"/>
    </row>
    <row r="215" spans="1:33">
      <c r="A215" s="250" t="s">
        <v>571</v>
      </c>
      <c r="B215" s="251" t="s">
        <v>561</v>
      </c>
      <c r="C215" s="250"/>
      <c r="D215" s="250"/>
      <c r="E215" s="261"/>
      <c r="F215" s="286"/>
      <c r="G215" s="286"/>
      <c r="H215" s="286"/>
      <c r="I215" s="286"/>
      <c r="J215" s="286"/>
      <c r="K215" s="286"/>
      <c r="L215" s="286"/>
      <c r="M215" s="286"/>
      <c r="N215" s="286"/>
      <c r="O215" s="286"/>
      <c r="P215" s="254"/>
      <c r="Q215" s="285"/>
      <c r="R215" s="285"/>
      <c r="S215" s="285"/>
      <c r="T215" s="285"/>
      <c r="U215" s="285"/>
      <c r="V215" s="285"/>
      <c r="W215" s="285"/>
      <c r="X215" s="285"/>
      <c r="Y215" s="285"/>
      <c r="Z215" s="285"/>
      <c r="AA215" s="285"/>
      <c r="AB215" s="285"/>
      <c r="AC215" s="285"/>
      <c r="AD215" s="285"/>
      <c r="AE215" s="287"/>
      <c r="AF215" s="287"/>
      <c r="AG215" s="287"/>
    </row>
    <row r="216" spans="1:33">
      <c r="A216" s="250" t="s">
        <v>571</v>
      </c>
      <c r="B216" s="251" t="s">
        <v>562</v>
      </c>
      <c r="C216" s="250"/>
      <c r="D216" s="250"/>
      <c r="E216" s="261"/>
      <c r="F216" s="286"/>
      <c r="G216" s="286"/>
      <c r="H216" s="286"/>
      <c r="I216" s="286"/>
      <c r="J216" s="286"/>
      <c r="K216" s="286"/>
      <c r="L216" s="286"/>
      <c r="M216" s="286"/>
      <c r="N216" s="286"/>
      <c r="O216" s="286"/>
      <c r="P216" s="286"/>
      <c r="Q216" s="254"/>
      <c r="R216" s="285"/>
      <c r="S216" s="285"/>
      <c r="T216" s="285"/>
      <c r="U216" s="285"/>
      <c r="V216" s="285"/>
      <c r="W216" s="285"/>
      <c r="X216" s="285"/>
      <c r="Y216" s="285"/>
      <c r="Z216" s="285"/>
      <c r="AA216" s="285"/>
      <c r="AB216" s="285"/>
      <c r="AC216" s="285"/>
      <c r="AD216" s="285"/>
      <c r="AE216" s="287"/>
      <c r="AF216" s="287"/>
      <c r="AG216" s="287"/>
    </row>
    <row r="217" spans="1:33">
      <c r="A217" s="250" t="s">
        <v>571</v>
      </c>
      <c r="B217" s="251" t="s">
        <v>563</v>
      </c>
      <c r="C217" s="250"/>
      <c r="D217" s="250"/>
      <c r="E217" s="261"/>
      <c r="F217" s="286"/>
      <c r="G217" s="286"/>
      <c r="H217" s="286"/>
      <c r="I217" s="286"/>
      <c r="J217" s="286"/>
      <c r="K217" s="286"/>
      <c r="L217" s="286"/>
      <c r="M217" s="286"/>
      <c r="N217" s="286"/>
      <c r="O217" s="286"/>
      <c r="P217" s="286"/>
      <c r="Q217" s="286"/>
      <c r="R217" s="254"/>
      <c r="S217" s="285"/>
      <c r="T217" s="285"/>
      <c r="U217" s="285"/>
      <c r="V217" s="285"/>
      <c r="W217" s="285"/>
      <c r="X217" s="285"/>
      <c r="Y217" s="285"/>
      <c r="Z217" s="285"/>
      <c r="AA217" s="285"/>
      <c r="AB217" s="285"/>
      <c r="AC217" s="285"/>
      <c r="AD217" s="285"/>
      <c r="AE217" s="287"/>
      <c r="AF217" s="287"/>
      <c r="AG217" s="287"/>
    </row>
    <row r="218" spans="1:33">
      <c r="A218" s="250" t="s">
        <v>571</v>
      </c>
      <c r="B218" s="251" t="s">
        <v>564</v>
      </c>
      <c r="C218" s="250"/>
      <c r="D218" s="250"/>
      <c r="E218" s="261"/>
      <c r="F218" s="286"/>
      <c r="G218" s="286"/>
      <c r="H218" s="286"/>
      <c r="I218" s="286"/>
      <c r="J218" s="286"/>
      <c r="K218" s="286"/>
      <c r="L218" s="286"/>
      <c r="M218" s="286"/>
      <c r="N218" s="286"/>
      <c r="O218" s="286"/>
      <c r="P218" s="286"/>
      <c r="Q218" s="286"/>
      <c r="R218" s="286"/>
      <c r="S218" s="254"/>
      <c r="T218" s="285"/>
      <c r="U218" s="285"/>
      <c r="V218" s="285"/>
      <c r="W218" s="285"/>
      <c r="X218" s="285"/>
      <c r="Y218" s="285"/>
      <c r="Z218" s="285"/>
      <c r="AA218" s="285"/>
      <c r="AB218" s="285"/>
      <c r="AC218" s="285"/>
      <c r="AD218" s="285"/>
      <c r="AE218" s="287"/>
      <c r="AF218" s="287"/>
      <c r="AG218" s="287"/>
    </row>
    <row r="219" spans="1:33">
      <c r="A219" s="250" t="s">
        <v>571</v>
      </c>
      <c r="B219" s="251" t="s">
        <v>565</v>
      </c>
      <c r="C219" s="253"/>
      <c r="D219" s="250"/>
      <c r="E219" s="261"/>
      <c r="F219" s="286"/>
      <c r="G219" s="286"/>
      <c r="H219" s="286"/>
      <c r="I219" s="286"/>
      <c r="J219" s="286"/>
      <c r="K219" s="286"/>
      <c r="L219" s="286"/>
      <c r="M219" s="286"/>
      <c r="N219" s="286"/>
      <c r="O219" s="286"/>
      <c r="P219" s="286"/>
      <c r="Q219" s="286"/>
      <c r="R219" s="286"/>
      <c r="S219" s="286"/>
      <c r="T219" s="254"/>
      <c r="U219" s="285"/>
      <c r="V219" s="285"/>
      <c r="W219" s="285"/>
      <c r="X219" s="285"/>
      <c r="Y219" s="285"/>
      <c r="Z219" s="285"/>
      <c r="AA219" s="285"/>
      <c r="AB219" s="285"/>
      <c r="AC219" s="285"/>
      <c r="AD219" s="285"/>
      <c r="AE219" s="287"/>
      <c r="AF219" s="287"/>
      <c r="AG219" s="287"/>
    </row>
    <row r="220" spans="1:33">
      <c r="A220" s="250" t="s">
        <v>571</v>
      </c>
      <c r="B220" s="251" t="s">
        <v>566</v>
      </c>
      <c r="C220" s="253"/>
      <c r="D220" s="250"/>
      <c r="E220" s="261"/>
      <c r="F220" s="286"/>
      <c r="G220" s="286"/>
      <c r="H220" s="286"/>
      <c r="I220" s="286"/>
      <c r="J220" s="286"/>
      <c r="K220" s="286"/>
      <c r="L220" s="286"/>
      <c r="M220" s="286"/>
      <c r="N220" s="286"/>
      <c r="O220" s="286"/>
      <c r="P220" s="286"/>
      <c r="Q220" s="286"/>
      <c r="R220" s="286"/>
      <c r="S220" s="286"/>
      <c r="T220" s="286"/>
      <c r="U220" s="254"/>
      <c r="V220" s="285"/>
      <c r="W220" s="285"/>
      <c r="X220" s="285"/>
      <c r="Y220" s="285"/>
      <c r="Z220" s="285"/>
      <c r="AA220" s="285"/>
      <c r="AB220" s="285"/>
      <c r="AC220" s="285"/>
      <c r="AD220" s="285"/>
      <c r="AE220" s="287"/>
      <c r="AF220" s="287"/>
      <c r="AG220" s="287"/>
    </row>
    <row r="221" spans="1:33">
      <c r="A221" s="250" t="s">
        <v>571</v>
      </c>
      <c r="B221" s="251" t="s">
        <v>567</v>
      </c>
      <c r="C221" s="253"/>
      <c r="D221" s="253"/>
      <c r="E221" s="261"/>
      <c r="F221" s="286"/>
      <c r="G221" s="286"/>
      <c r="H221" s="286"/>
      <c r="I221" s="286"/>
      <c r="J221" s="286"/>
      <c r="K221" s="286"/>
      <c r="L221" s="286"/>
      <c r="M221" s="286"/>
      <c r="N221" s="286"/>
      <c r="O221" s="286"/>
      <c r="P221" s="286"/>
      <c r="Q221" s="286"/>
      <c r="R221" s="286"/>
      <c r="S221" s="286"/>
      <c r="T221" s="286"/>
      <c r="U221" s="286"/>
      <c r="V221" s="254"/>
      <c r="W221" s="285"/>
      <c r="X221" s="285"/>
      <c r="Y221" s="285"/>
      <c r="Z221" s="285"/>
      <c r="AA221" s="285"/>
      <c r="AB221" s="285"/>
      <c r="AC221" s="285"/>
      <c r="AD221" s="285"/>
      <c r="AE221" s="287"/>
      <c r="AF221" s="287"/>
      <c r="AG221" s="287"/>
    </row>
    <row r="222" spans="1:33">
      <c r="A222" s="250" t="s">
        <v>571</v>
      </c>
      <c r="B222" s="251" t="s">
        <v>568</v>
      </c>
      <c r="C222" s="253"/>
      <c r="D222" s="253"/>
      <c r="E222" s="261"/>
      <c r="F222" s="286"/>
      <c r="G222" s="286"/>
      <c r="H222" s="286"/>
      <c r="I222" s="286"/>
      <c r="J222" s="286"/>
      <c r="K222" s="286"/>
      <c r="L222" s="286"/>
      <c r="M222" s="286"/>
      <c r="N222" s="286"/>
      <c r="O222" s="286"/>
      <c r="P222" s="286"/>
      <c r="Q222" s="286"/>
      <c r="R222" s="286"/>
      <c r="S222" s="286"/>
      <c r="T222" s="286"/>
      <c r="U222" s="286"/>
      <c r="V222" s="286"/>
      <c r="W222" s="254"/>
      <c r="X222" s="285"/>
      <c r="Y222" s="285"/>
      <c r="Z222" s="285"/>
      <c r="AA222" s="285"/>
      <c r="AB222" s="285"/>
      <c r="AC222" s="285"/>
      <c r="AD222" s="285"/>
      <c r="AE222" s="287"/>
      <c r="AF222" s="287"/>
      <c r="AG222" s="287"/>
    </row>
    <row r="223" spans="1:33">
      <c r="A223" s="250" t="s">
        <v>571</v>
      </c>
      <c r="B223" s="251" t="s">
        <v>569</v>
      </c>
      <c r="C223" s="253"/>
      <c r="D223" s="253"/>
      <c r="E223" s="261"/>
      <c r="F223" s="286"/>
      <c r="G223" s="286"/>
      <c r="H223" s="286"/>
      <c r="I223" s="286"/>
      <c r="J223" s="286"/>
      <c r="K223" s="286"/>
      <c r="L223" s="286"/>
      <c r="M223" s="286"/>
      <c r="N223" s="286"/>
      <c r="O223" s="286"/>
      <c r="P223" s="286"/>
      <c r="Q223" s="286"/>
      <c r="R223" s="286"/>
      <c r="S223" s="286"/>
      <c r="T223" s="286"/>
      <c r="U223" s="286"/>
      <c r="V223" s="286"/>
      <c r="W223" s="286"/>
      <c r="X223" s="254"/>
      <c r="Y223" s="285"/>
      <c r="Z223" s="285"/>
      <c r="AA223" s="285"/>
      <c r="AB223" s="285"/>
      <c r="AC223" s="285"/>
      <c r="AD223" s="285"/>
      <c r="AE223" s="287"/>
      <c r="AF223" s="287"/>
      <c r="AG223" s="287"/>
    </row>
    <row r="224" spans="1:33">
      <c r="A224" s="250" t="s">
        <v>571</v>
      </c>
      <c r="B224" s="251" t="s">
        <v>572</v>
      </c>
      <c r="C224" s="253"/>
      <c r="D224" s="253"/>
      <c r="E224" s="262"/>
      <c r="F224" s="286"/>
      <c r="G224" s="286"/>
      <c r="H224" s="286"/>
      <c r="I224" s="286"/>
      <c r="J224" s="286"/>
      <c r="K224" s="286"/>
      <c r="L224" s="286"/>
      <c r="M224" s="286"/>
      <c r="N224" s="286"/>
      <c r="O224" s="286"/>
      <c r="P224" s="286"/>
      <c r="Q224" s="286"/>
      <c r="R224" s="286"/>
      <c r="S224" s="286"/>
      <c r="T224" s="286"/>
      <c r="U224" s="286"/>
      <c r="V224" s="286"/>
      <c r="W224" s="286"/>
      <c r="X224" s="286"/>
      <c r="Y224" s="254"/>
      <c r="Z224" s="285"/>
      <c r="AA224" s="285"/>
      <c r="AB224" s="285"/>
      <c r="AC224" s="285"/>
      <c r="AD224" s="285"/>
      <c r="AE224" s="287"/>
      <c r="AF224" s="287"/>
      <c r="AG224" s="287"/>
    </row>
    <row r="225" spans="1:33">
      <c r="A225" s="250" t="s">
        <v>571</v>
      </c>
      <c r="B225" t="s">
        <v>573</v>
      </c>
      <c r="C225" s="253"/>
      <c r="D225" s="253"/>
      <c r="E225" s="262"/>
      <c r="F225" s="286"/>
      <c r="G225" s="286"/>
      <c r="H225" s="286"/>
      <c r="I225" s="286"/>
      <c r="J225" s="286"/>
      <c r="K225" s="286"/>
      <c r="L225" s="286"/>
      <c r="M225" s="286"/>
      <c r="N225" s="286"/>
      <c r="O225" s="286"/>
      <c r="P225" s="286"/>
      <c r="Q225" s="286"/>
      <c r="R225" s="286"/>
      <c r="S225" s="286"/>
      <c r="T225" s="286"/>
      <c r="U225" s="286"/>
      <c r="V225" s="286"/>
      <c r="W225" s="286"/>
      <c r="X225" s="286"/>
      <c r="Y225" s="286"/>
      <c r="Z225" s="254"/>
      <c r="AA225" s="285"/>
      <c r="AB225" s="285"/>
      <c r="AC225" s="285"/>
      <c r="AD225" s="285"/>
      <c r="AE225" s="287"/>
      <c r="AF225" s="287"/>
      <c r="AG225" s="287"/>
    </row>
    <row r="226" spans="1:33">
      <c r="A226" s="250" t="s">
        <v>571</v>
      </c>
      <c r="B226" t="s">
        <v>574</v>
      </c>
      <c r="C226" s="253"/>
      <c r="D226" s="253"/>
      <c r="E226" s="262"/>
      <c r="F226" s="286"/>
      <c r="G226" s="286"/>
      <c r="H226" s="286"/>
      <c r="I226" s="286"/>
      <c r="J226" s="286"/>
      <c r="K226" s="286"/>
      <c r="L226" s="286"/>
      <c r="M226" s="286"/>
      <c r="N226" s="286"/>
      <c r="O226" s="286"/>
      <c r="P226" s="286"/>
      <c r="Q226" s="286"/>
      <c r="R226" s="286"/>
      <c r="S226" s="286"/>
      <c r="T226" s="286"/>
      <c r="U226" s="286"/>
      <c r="V226" s="286"/>
      <c r="W226" s="286"/>
      <c r="X226" s="286"/>
      <c r="Y226" s="286"/>
      <c r="Z226" s="286"/>
      <c r="AA226" s="254"/>
      <c r="AB226" s="285"/>
      <c r="AC226" s="285"/>
      <c r="AD226" s="285"/>
      <c r="AE226" s="287"/>
      <c r="AF226" s="287"/>
      <c r="AG226" s="287"/>
    </row>
    <row r="227" spans="1:33">
      <c r="A227" s="250" t="s">
        <v>571</v>
      </c>
      <c r="B227" t="s">
        <v>575</v>
      </c>
      <c r="C227" s="253"/>
      <c r="D227" s="253"/>
      <c r="E227" s="262"/>
      <c r="F227" s="286"/>
      <c r="G227" s="286"/>
      <c r="H227" s="286"/>
      <c r="I227" s="286"/>
      <c r="J227" s="286"/>
      <c r="K227" s="286"/>
      <c r="L227" s="286"/>
      <c r="M227" s="286"/>
      <c r="N227" s="286"/>
      <c r="O227" s="286"/>
      <c r="P227" s="286"/>
      <c r="Q227" s="286"/>
      <c r="R227" s="286"/>
      <c r="S227" s="286"/>
      <c r="T227" s="286"/>
      <c r="U227" s="286"/>
      <c r="V227" s="286"/>
      <c r="W227" s="286"/>
      <c r="X227" s="286"/>
      <c r="Y227" s="286"/>
      <c r="Z227" s="286"/>
      <c r="AA227" s="286"/>
      <c r="AB227" s="254"/>
      <c r="AC227" s="285"/>
      <c r="AD227" s="285"/>
      <c r="AE227" s="287"/>
      <c r="AF227" s="287"/>
      <c r="AG227" s="287"/>
    </row>
    <row r="228" spans="1:33">
      <c r="A228" s="250" t="s">
        <v>571</v>
      </c>
      <c r="B228" t="s">
        <v>576</v>
      </c>
      <c r="C228" s="253"/>
      <c r="D228" s="253"/>
      <c r="E228" s="262"/>
      <c r="F228" s="286"/>
      <c r="G228" s="286"/>
      <c r="H228" s="286"/>
      <c r="I228" s="286"/>
      <c r="J228" s="286"/>
      <c r="K228" s="286"/>
      <c r="L228" s="286"/>
      <c r="M228" s="286"/>
      <c r="N228" s="286"/>
      <c r="O228" s="286"/>
      <c r="P228" s="286"/>
      <c r="Q228" s="286"/>
      <c r="R228" s="286"/>
      <c r="S228" s="286"/>
      <c r="T228" s="286"/>
      <c r="U228" s="286"/>
      <c r="V228" s="286"/>
      <c r="W228" s="286"/>
      <c r="X228" s="286"/>
      <c r="Y228" s="286"/>
      <c r="Z228" s="286"/>
      <c r="AA228" s="286"/>
      <c r="AB228" s="286"/>
      <c r="AC228" s="254"/>
      <c r="AD228" s="285"/>
      <c r="AE228" s="287"/>
      <c r="AF228" s="287"/>
      <c r="AG228" s="287"/>
    </row>
    <row r="229" spans="1:33">
      <c r="A229" s="250" t="s">
        <v>571</v>
      </c>
      <c r="B229" t="s">
        <v>577</v>
      </c>
      <c r="C229" s="253"/>
      <c r="D229" s="253"/>
      <c r="E229" s="262"/>
      <c r="F229" s="286"/>
      <c r="G229" s="286"/>
      <c r="H229" s="286"/>
      <c r="I229" s="286"/>
      <c r="J229" s="286"/>
      <c r="K229" s="286"/>
      <c r="L229" s="286"/>
      <c r="M229" s="286"/>
      <c r="N229" s="286"/>
      <c r="O229" s="286"/>
      <c r="P229" s="286"/>
      <c r="Q229" s="286"/>
      <c r="R229" s="286"/>
      <c r="S229" s="286"/>
      <c r="T229" s="286"/>
      <c r="U229" s="286"/>
      <c r="V229" s="286"/>
      <c r="W229" s="286"/>
      <c r="X229" s="286"/>
      <c r="Y229" s="286"/>
      <c r="Z229" s="286"/>
      <c r="AA229" s="286"/>
      <c r="AB229" s="286"/>
      <c r="AC229" s="286"/>
      <c r="AD229" s="254"/>
      <c r="AE229" s="287"/>
      <c r="AF229" s="287"/>
      <c r="AG229" s="287"/>
    </row>
    <row r="230" spans="1:33">
      <c r="A230" s="255"/>
      <c r="B230" s="256" t="s">
        <v>235</v>
      </c>
      <c r="C230" s="257"/>
      <c r="D230" s="257"/>
      <c r="E230" s="257"/>
      <c r="F230" s="257"/>
      <c r="G230" s="257"/>
      <c r="H230" s="257"/>
      <c r="I230" s="257"/>
      <c r="J230" s="257"/>
      <c r="K230" s="257"/>
      <c r="L230" s="257"/>
      <c r="M230" s="257"/>
      <c r="N230" s="257"/>
      <c r="O230" s="257"/>
      <c r="P230" s="257"/>
      <c r="Q230" s="257"/>
      <c r="R230" s="257"/>
      <c r="S230" s="257"/>
      <c r="T230" s="257"/>
      <c r="U230" s="257"/>
      <c r="V230" s="257"/>
      <c r="W230" s="257"/>
      <c r="X230" s="257"/>
      <c r="Y230" s="257"/>
      <c r="Z230" s="257"/>
      <c r="AA230" s="257"/>
      <c r="AB230" s="257"/>
      <c r="AC230" s="257"/>
      <c r="AD230" s="257"/>
      <c r="AE230" s="257"/>
      <c r="AF230" s="257"/>
      <c r="AG230" s="257"/>
    </row>
    <row r="231" spans="1:33">
      <c r="C231" s="265"/>
    </row>
    <row r="234" spans="1:33">
      <c r="B234" s="245" t="s">
        <v>586</v>
      </c>
      <c r="K234" s="283" t="s">
        <v>56</v>
      </c>
    </row>
    <row r="235" spans="1:33" ht="25.5">
      <c r="A235" s="246"/>
      <c r="B235" s="247" t="s">
        <v>543</v>
      </c>
      <c r="C235" s="1057" t="s">
        <v>579</v>
      </c>
      <c r="D235" s="1057" t="s">
        <v>545</v>
      </c>
      <c r="E235" s="1057" t="s">
        <v>546</v>
      </c>
      <c r="F235" s="1054" t="s">
        <v>547</v>
      </c>
      <c r="G235" s="1055"/>
      <c r="H235" s="1055"/>
      <c r="I235" s="1055"/>
      <c r="J235" s="1055"/>
      <c r="K235" s="1055"/>
      <c r="L235" s="1055"/>
      <c r="M235" s="1055"/>
      <c r="N235" s="1055"/>
      <c r="O235" s="1055"/>
      <c r="P235" s="1055"/>
      <c r="Q235" s="1055"/>
      <c r="R235" s="1055"/>
      <c r="S235" s="1055"/>
      <c r="T235" s="1055"/>
      <c r="U235" s="1055"/>
      <c r="V235" s="1055"/>
      <c r="W235" s="1055"/>
      <c r="X235" s="1055"/>
      <c r="Y235" s="1055"/>
      <c r="Z235" s="1055"/>
      <c r="AA235" s="1055"/>
      <c r="AB235" s="1055"/>
      <c r="AC235" s="1055"/>
      <c r="AD235" s="1056"/>
      <c r="AE235" s="284" t="s">
        <v>548</v>
      </c>
      <c r="AF235" s="284" t="s">
        <v>549</v>
      </c>
      <c r="AG235" s="284" t="s">
        <v>550</v>
      </c>
    </row>
    <row r="236" spans="1:33">
      <c r="A236" s="246"/>
      <c r="B236" s="247"/>
      <c r="C236" s="1058"/>
      <c r="D236" s="1058"/>
      <c r="E236" s="1058"/>
      <c r="F236" s="249" t="s">
        <v>551</v>
      </c>
      <c r="G236" s="249" t="s">
        <v>552</v>
      </c>
      <c r="H236" s="249" t="s">
        <v>553</v>
      </c>
      <c r="I236" s="249" t="s">
        <v>554</v>
      </c>
      <c r="J236" s="249" t="s">
        <v>555</v>
      </c>
      <c r="K236" s="249" t="s">
        <v>556</v>
      </c>
      <c r="L236" s="249" t="s">
        <v>557</v>
      </c>
      <c r="M236" s="249" t="s">
        <v>558</v>
      </c>
      <c r="N236" s="249" t="s">
        <v>559</v>
      </c>
      <c r="O236" s="249" t="s">
        <v>560</v>
      </c>
      <c r="P236" s="249" t="s">
        <v>561</v>
      </c>
      <c r="Q236" s="249" t="s">
        <v>562</v>
      </c>
      <c r="R236" s="249" t="s">
        <v>563</v>
      </c>
      <c r="S236" s="249" t="s">
        <v>564</v>
      </c>
      <c r="T236" s="249" t="s">
        <v>565</v>
      </c>
      <c r="U236" s="249" t="s">
        <v>566</v>
      </c>
      <c r="V236" s="249" t="s">
        <v>567</v>
      </c>
      <c r="W236" s="249" t="s">
        <v>568</v>
      </c>
      <c r="X236" s="249" t="s">
        <v>569</v>
      </c>
      <c r="Y236" s="249" t="s">
        <v>60</v>
      </c>
      <c r="Z236" s="249" t="s">
        <v>70</v>
      </c>
      <c r="AA236" s="249" t="s">
        <v>71</v>
      </c>
      <c r="AB236" s="249" t="s">
        <v>72</v>
      </c>
      <c r="AC236" s="249" t="s">
        <v>73</v>
      </c>
      <c r="AD236" s="249" t="s">
        <v>74</v>
      </c>
      <c r="AE236" s="284"/>
      <c r="AF236" s="284"/>
      <c r="AG236" s="284"/>
    </row>
    <row r="237" spans="1:33">
      <c r="A237" s="250" t="s">
        <v>570</v>
      </c>
      <c r="B237" s="251">
        <v>2005</v>
      </c>
      <c r="C237" s="250"/>
      <c r="D237" s="250"/>
      <c r="E237" s="261"/>
      <c r="F237" s="253"/>
      <c r="G237" s="253"/>
      <c r="H237" s="253"/>
      <c r="I237" s="253"/>
      <c r="J237" s="253"/>
      <c r="K237" s="285"/>
      <c r="L237" s="285"/>
      <c r="M237" s="285"/>
      <c r="N237" s="285"/>
      <c r="O237" s="285"/>
      <c r="P237" s="285"/>
      <c r="Q237" s="285"/>
      <c r="R237" s="285"/>
      <c r="S237" s="285"/>
      <c r="T237" s="285"/>
      <c r="U237" s="285"/>
      <c r="V237" s="285"/>
      <c r="W237" s="285"/>
      <c r="X237" s="285"/>
      <c r="Y237" s="285"/>
      <c r="Z237" s="285"/>
      <c r="AA237" s="285"/>
      <c r="AB237" s="285"/>
      <c r="AC237" s="285"/>
      <c r="AD237" s="285"/>
      <c r="AE237" s="287"/>
      <c r="AF237" s="287"/>
      <c r="AG237" s="287"/>
    </row>
    <row r="238" spans="1:33">
      <c r="A238" s="250" t="s">
        <v>571</v>
      </c>
      <c r="B238" s="251" t="s">
        <v>551</v>
      </c>
      <c r="C238" s="250"/>
      <c r="D238" s="250"/>
      <c r="E238" s="261"/>
      <c r="F238" s="254"/>
      <c r="G238" s="285"/>
      <c r="H238" s="285"/>
      <c r="I238" s="285"/>
      <c r="J238" s="285"/>
      <c r="K238" s="285"/>
      <c r="L238" s="285"/>
      <c r="M238" s="285"/>
      <c r="N238" s="285"/>
      <c r="O238" s="285"/>
      <c r="P238" s="285"/>
      <c r="Q238" s="285"/>
      <c r="R238" s="285"/>
      <c r="S238" s="285"/>
      <c r="T238" s="285"/>
      <c r="U238" s="285"/>
      <c r="V238" s="285"/>
      <c r="W238" s="285"/>
      <c r="X238" s="285"/>
      <c r="Y238" s="285"/>
      <c r="Z238" s="285"/>
      <c r="AA238" s="285"/>
      <c r="AB238" s="285"/>
      <c r="AC238" s="285"/>
      <c r="AD238" s="285"/>
      <c r="AE238" s="287"/>
      <c r="AF238" s="287"/>
      <c r="AG238" s="287"/>
    </row>
    <row r="239" spans="1:33">
      <c r="A239" s="250" t="s">
        <v>571</v>
      </c>
      <c r="B239" s="251" t="s">
        <v>552</v>
      </c>
      <c r="C239" s="250"/>
      <c r="D239" s="250"/>
      <c r="E239" s="261"/>
      <c r="F239" s="286"/>
      <c r="G239" s="254"/>
      <c r="H239" s="285"/>
      <c r="I239" s="285"/>
      <c r="J239" s="285"/>
      <c r="K239" s="285"/>
      <c r="L239" s="285"/>
      <c r="M239" s="285"/>
      <c r="N239" s="285"/>
      <c r="O239" s="285"/>
      <c r="P239" s="285"/>
      <c r="Q239" s="285"/>
      <c r="R239" s="285"/>
      <c r="S239" s="285"/>
      <c r="T239" s="285"/>
      <c r="U239" s="285"/>
      <c r="V239" s="285"/>
      <c r="W239" s="285"/>
      <c r="X239" s="285"/>
      <c r="Y239" s="285"/>
      <c r="Z239" s="285"/>
      <c r="AA239" s="285"/>
      <c r="AB239" s="285"/>
      <c r="AC239" s="285"/>
      <c r="AD239" s="285"/>
      <c r="AE239" s="287"/>
      <c r="AF239" s="287"/>
      <c r="AG239" s="287"/>
    </row>
    <row r="240" spans="1:33">
      <c r="A240" s="250" t="s">
        <v>571</v>
      </c>
      <c r="B240" s="251" t="s">
        <v>553</v>
      </c>
      <c r="C240" s="250"/>
      <c r="D240" s="250"/>
      <c r="E240" s="261"/>
      <c r="F240" s="286"/>
      <c r="G240" s="286"/>
      <c r="H240" s="254"/>
      <c r="I240" s="285"/>
      <c r="J240" s="285"/>
      <c r="K240" s="285"/>
      <c r="L240" s="285"/>
      <c r="M240" s="285"/>
      <c r="N240" s="285"/>
      <c r="O240" s="285"/>
      <c r="P240" s="285"/>
      <c r="Q240" s="285"/>
      <c r="R240" s="285"/>
      <c r="S240" s="285"/>
      <c r="T240" s="285"/>
      <c r="U240" s="285"/>
      <c r="V240" s="285"/>
      <c r="W240" s="285"/>
      <c r="X240" s="285"/>
      <c r="Y240" s="285"/>
      <c r="Z240" s="285"/>
      <c r="AA240" s="285"/>
      <c r="AB240" s="285"/>
      <c r="AC240" s="285"/>
      <c r="AD240" s="285"/>
      <c r="AE240" s="287"/>
      <c r="AF240" s="287"/>
      <c r="AG240" s="287"/>
    </row>
    <row r="241" spans="1:33">
      <c r="A241" s="250" t="s">
        <v>571</v>
      </c>
      <c r="B241" s="251" t="s">
        <v>554</v>
      </c>
      <c r="C241" s="250"/>
      <c r="D241" s="250"/>
      <c r="E241" s="261"/>
      <c r="F241" s="286"/>
      <c r="G241" s="286"/>
      <c r="H241" s="286"/>
      <c r="I241" s="254"/>
      <c r="J241" s="285"/>
      <c r="K241" s="285"/>
      <c r="L241" s="285"/>
      <c r="M241" s="285"/>
      <c r="N241" s="285"/>
      <c r="O241" s="285"/>
      <c r="P241" s="285"/>
      <c r="Q241" s="285"/>
      <c r="R241" s="285"/>
      <c r="S241" s="285"/>
      <c r="T241" s="285"/>
      <c r="U241" s="285"/>
      <c r="V241" s="285"/>
      <c r="W241" s="285"/>
      <c r="X241" s="285"/>
      <c r="Y241" s="285"/>
      <c r="Z241" s="285"/>
      <c r="AA241" s="285"/>
      <c r="AB241" s="285"/>
      <c r="AC241" s="285"/>
      <c r="AD241" s="285"/>
      <c r="AE241" s="287"/>
      <c r="AF241" s="287"/>
      <c r="AG241" s="287"/>
    </row>
    <row r="242" spans="1:33">
      <c r="A242" s="250" t="s">
        <v>571</v>
      </c>
      <c r="B242" s="251" t="s">
        <v>555</v>
      </c>
      <c r="C242" s="250"/>
      <c r="D242" s="250"/>
      <c r="E242" s="261"/>
      <c r="F242" s="286"/>
      <c r="G242" s="286"/>
      <c r="H242" s="286"/>
      <c r="I242" s="286"/>
      <c r="J242" s="254"/>
      <c r="K242" s="285"/>
      <c r="L242" s="285"/>
      <c r="M242" s="285"/>
      <c r="N242" s="285"/>
      <c r="O242" s="285"/>
      <c r="P242" s="285"/>
      <c r="Q242" s="285"/>
      <c r="R242" s="285"/>
      <c r="S242" s="285"/>
      <c r="T242" s="285"/>
      <c r="U242" s="285"/>
      <c r="V242" s="285"/>
      <c r="W242" s="285"/>
      <c r="X242" s="285"/>
      <c r="Y242" s="285"/>
      <c r="Z242" s="285"/>
      <c r="AA242" s="285"/>
      <c r="AB242" s="285"/>
      <c r="AC242" s="285"/>
      <c r="AD242" s="285"/>
      <c r="AE242" s="287"/>
      <c r="AF242" s="287"/>
      <c r="AG242" s="287"/>
    </row>
    <row r="243" spans="1:33">
      <c r="A243" s="250" t="s">
        <v>571</v>
      </c>
      <c r="B243" s="251" t="s">
        <v>556</v>
      </c>
      <c r="C243" s="250"/>
      <c r="D243" s="250"/>
      <c r="E243" s="261"/>
      <c r="F243" s="286"/>
      <c r="G243" s="286"/>
      <c r="H243" s="286"/>
      <c r="I243" s="286"/>
      <c r="J243" s="286"/>
      <c r="K243" s="254"/>
      <c r="L243" s="285"/>
      <c r="M243" s="285"/>
      <c r="N243" s="285"/>
      <c r="O243" s="285"/>
      <c r="P243" s="285"/>
      <c r="Q243" s="285"/>
      <c r="R243" s="285"/>
      <c r="S243" s="285"/>
      <c r="T243" s="285"/>
      <c r="U243" s="285"/>
      <c r="V243" s="285"/>
      <c r="W243" s="285"/>
      <c r="X243" s="285"/>
      <c r="Y243" s="285"/>
      <c r="Z243" s="285"/>
      <c r="AA243" s="285"/>
      <c r="AB243" s="285"/>
      <c r="AC243" s="285"/>
      <c r="AD243" s="285"/>
      <c r="AE243" s="287"/>
      <c r="AF243" s="287"/>
      <c r="AG243" s="287"/>
    </row>
    <row r="244" spans="1:33">
      <c r="A244" s="250" t="s">
        <v>571</v>
      </c>
      <c r="B244" s="251" t="s">
        <v>557</v>
      </c>
      <c r="C244" s="250"/>
      <c r="D244" s="250"/>
      <c r="E244" s="261"/>
      <c r="F244" s="286"/>
      <c r="G244" s="286"/>
      <c r="H244" s="286"/>
      <c r="I244" s="286"/>
      <c r="J244" s="286"/>
      <c r="K244" s="286"/>
      <c r="L244" s="254"/>
      <c r="M244" s="285"/>
      <c r="N244" s="285"/>
      <c r="O244" s="285"/>
      <c r="P244" s="285"/>
      <c r="Q244" s="285"/>
      <c r="R244" s="285"/>
      <c r="S244" s="285"/>
      <c r="T244" s="285"/>
      <c r="U244" s="285"/>
      <c r="V244" s="285"/>
      <c r="W244" s="285"/>
      <c r="X244" s="285"/>
      <c r="Y244" s="285"/>
      <c r="Z244" s="285"/>
      <c r="AA244" s="285"/>
      <c r="AB244" s="285"/>
      <c r="AC244" s="285"/>
      <c r="AD244" s="285"/>
      <c r="AE244" s="287"/>
      <c r="AF244" s="287"/>
      <c r="AG244" s="287"/>
    </row>
    <row r="245" spans="1:33">
      <c r="A245" s="250" t="s">
        <v>571</v>
      </c>
      <c r="B245" s="251" t="s">
        <v>558</v>
      </c>
      <c r="C245" s="250"/>
      <c r="D245" s="250"/>
      <c r="E245" s="261"/>
      <c r="F245" s="286"/>
      <c r="G245" s="286"/>
      <c r="H245" s="286"/>
      <c r="I245" s="286"/>
      <c r="J245" s="286"/>
      <c r="K245" s="286"/>
      <c r="L245" s="286"/>
      <c r="M245" s="254"/>
      <c r="N245" s="285"/>
      <c r="O245" s="285"/>
      <c r="P245" s="285"/>
      <c r="Q245" s="285"/>
      <c r="R245" s="285"/>
      <c r="S245" s="285"/>
      <c r="T245" s="285"/>
      <c r="U245" s="285"/>
      <c r="V245" s="285"/>
      <c r="W245" s="285"/>
      <c r="X245" s="285"/>
      <c r="Y245" s="285"/>
      <c r="Z245" s="285"/>
      <c r="AA245" s="285"/>
      <c r="AB245" s="285"/>
      <c r="AC245" s="285"/>
      <c r="AD245" s="285"/>
      <c r="AE245" s="287"/>
      <c r="AF245" s="287"/>
      <c r="AG245" s="287"/>
    </row>
    <row r="246" spans="1:33">
      <c r="A246" s="250" t="s">
        <v>571</v>
      </c>
      <c r="B246" s="251" t="s">
        <v>559</v>
      </c>
      <c r="C246" s="250"/>
      <c r="D246" s="250"/>
      <c r="E246" s="261"/>
      <c r="F246" s="286"/>
      <c r="G246" s="286"/>
      <c r="H246" s="286"/>
      <c r="I246" s="286"/>
      <c r="J246" s="286"/>
      <c r="K246" s="286"/>
      <c r="L246" s="286"/>
      <c r="M246" s="286"/>
      <c r="N246" s="254"/>
      <c r="O246" s="285"/>
      <c r="P246" s="285"/>
      <c r="Q246" s="285"/>
      <c r="R246" s="285"/>
      <c r="S246" s="285"/>
      <c r="T246" s="285"/>
      <c r="U246" s="285"/>
      <c r="V246" s="285"/>
      <c r="W246" s="285"/>
      <c r="X246" s="285"/>
      <c r="Y246" s="285"/>
      <c r="Z246" s="285"/>
      <c r="AA246" s="285"/>
      <c r="AB246" s="285"/>
      <c r="AC246" s="285"/>
      <c r="AD246" s="285"/>
      <c r="AE246" s="287"/>
      <c r="AF246" s="287"/>
      <c r="AG246" s="287"/>
    </row>
    <row r="247" spans="1:33">
      <c r="A247" s="250" t="s">
        <v>571</v>
      </c>
      <c r="B247" s="251" t="s">
        <v>560</v>
      </c>
      <c r="C247" s="250"/>
      <c r="D247" s="250"/>
      <c r="E247" s="261"/>
      <c r="F247" s="286"/>
      <c r="G247" s="286"/>
      <c r="H247" s="286"/>
      <c r="I247" s="286"/>
      <c r="J247" s="286"/>
      <c r="K247" s="286"/>
      <c r="L247" s="286"/>
      <c r="M247" s="286"/>
      <c r="N247" s="286"/>
      <c r="O247" s="254"/>
      <c r="P247" s="285"/>
      <c r="Q247" s="285"/>
      <c r="R247" s="285"/>
      <c r="S247" s="285"/>
      <c r="T247" s="285"/>
      <c r="U247" s="285"/>
      <c r="V247" s="285"/>
      <c r="W247" s="285"/>
      <c r="X247" s="285"/>
      <c r="Y247" s="285"/>
      <c r="Z247" s="285"/>
      <c r="AA247" s="285"/>
      <c r="AB247" s="285"/>
      <c r="AC247" s="285"/>
      <c r="AD247" s="285"/>
      <c r="AE247" s="287"/>
      <c r="AF247" s="287"/>
      <c r="AG247" s="287"/>
    </row>
    <row r="248" spans="1:33">
      <c r="A248" s="250" t="s">
        <v>571</v>
      </c>
      <c r="B248" s="251" t="s">
        <v>561</v>
      </c>
      <c r="C248" s="250"/>
      <c r="D248" s="250"/>
      <c r="E248" s="261"/>
      <c r="F248" s="286"/>
      <c r="G248" s="286"/>
      <c r="H248" s="286"/>
      <c r="I248" s="286"/>
      <c r="J248" s="286"/>
      <c r="K248" s="286"/>
      <c r="L248" s="286"/>
      <c r="M248" s="286"/>
      <c r="N248" s="286"/>
      <c r="O248" s="286"/>
      <c r="P248" s="254"/>
      <c r="Q248" s="285"/>
      <c r="R248" s="285"/>
      <c r="S248" s="285"/>
      <c r="T248" s="285"/>
      <c r="U248" s="285"/>
      <c r="V248" s="285"/>
      <c r="W248" s="285"/>
      <c r="X248" s="285"/>
      <c r="Y248" s="285"/>
      <c r="Z248" s="285"/>
      <c r="AA248" s="285"/>
      <c r="AB248" s="285"/>
      <c r="AC248" s="285"/>
      <c r="AD248" s="285"/>
      <c r="AE248" s="287"/>
      <c r="AF248" s="287"/>
      <c r="AG248" s="287"/>
    </row>
    <row r="249" spans="1:33">
      <c r="A249" s="250" t="s">
        <v>571</v>
      </c>
      <c r="B249" s="251" t="s">
        <v>562</v>
      </c>
      <c r="C249" s="250"/>
      <c r="D249" s="250"/>
      <c r="E249" s="261"/>
      <c r="F249" s="286"/>
      <c r="G249" s="286"/>
      <c r="H249" s="286"/>
      <c r="I249" s="286"/>
      <c r="J249" s="286"/>
      <c r="K249" s="286"/>
      <c r="L249" s="286"/>
      <c r="M249" s="286"/>
      <c r="N249" s="286"/>
      <c r="O249" s="286"/>
      <c r="P249" s="286"/>
      <c r="Q249" s="254"/>
      <c r="R249" s="285"/>
      <c r="S249" s="285"/>
      <c r="T249" s="285"/>
      <c r="U249" s="285"/>
      <c r="V249" s="285"/>
      <c r="W249" s="285"/>
      <c r="X249" s="285"/>
      <c r="Y249" s="285"/>
      <c r="Z249" s="285"/>
      <c r="AA249" s="285"/>
      <c r="AB249" s="285"/>
      <c r="AC249" s="285"/>
      <c r="AD249" s="285"/>
      <c r="AE249" s="287"/>
      <c r="AF249" s="287"/>
      <c r="AG249" s="287"/>
    </row>
    <row r="250" spans="1:33">
      <c r="A250" s="250" t="s">
        <v>571</v>
      </c>
      <c r="B250" s="251" t="s">
        <v>563</v>
      </c>
      <c r="C250" s="250"/>
      <c r="D250" s="250"/>
      <c r="E250" s="261"/>
      <c r="F250" s="286"/>
      <c r="G250" s="286"/>
      <c r="H250" s="286"/>
      <c r="I250" s="286"/>
      <c r="J250" s="286"/>
      <c r="K250" s="286"/>
      <c r="L250" s="286"/>
      <c r="M250" s="286"/>
      <c r="N250" s="286"/>
      <c r="O250" s="286"/>
      <c r="P250" s="286"/>
      <c r="Q250" s="286"/>
      <c r="R250" s="254"/>
      <c r="S250" s="285"/>
      <c r="T250" s="285"/>
      <c r="U250" s="285"/>
      <c r="V250" s="285"/>
      <c r="W250" s="285"/>
      <c r="X250" s="285"/>
      <c r="Y250" s="285"/>
      <c r="Z250" s="285"/>
      <c r="AA250" s="285"/>
      <c r="AB250" s="285"/>
      <c r="AC250" s="285"/>
      <c r="AD250" s="285"/>
      <c r="AE250" s="287"/>
      <c r="AF250" s="287"/>
      <c r="AG250" s="287"/>
    </row>
    <row r="251" spans="1:33">
      <c r="A251" s="250" t="s">
        <v>571</v>
      </c>
      <c r="B251" s="251" t="s">
        <v>564</v>
      </c>
      <c r="C251" s="250"/>
      <c r="D251" s="250"/>
      <c r="E251" s="261"/>
      <c r="F251" s="286"/>
      <c r="G251" s="286"/>
      <c r="H251" s="286"/>
      <c r="I251" s="286"/>
      <c r="J251" s="286"/>
      <c r="K251" s="286"/>
      <c r="L251" s="286"/>
      <c r="M251" s="286"/>
      <c r="N251" s="286"/>
      <c r="O251" s="286"/>
      <c r="P251" s="286"/>
      <c r="Q251" s="286"/>
      <c r="R251" s="286"/>
      <c r="S251" s="254"/>
      <c r="T251" s="285"/>
      <c r="U251" s="285"/>
      <c r="V251" s="285"/>
      <c r="W251" s="285"/>
      <c r="X251" s="285"/>
      <c r="Y251" s="285"/>
      <c r="Z251" s="285"/>
      <c r="AA251" s="285"/>
      <c r="AB251" s="285"/>
      <c r="AC251" s="285"/>
      <c r="AD251" s="285"/>
      <c r="AE251" s="287"/>
      <c r="AF251" s="287"/>
      <c r="AG251" s="287"/>
    </row>
    <row r="252" spans="1:33">
      <c r="A252" s="250" t="s">
        <v>571</v>
      </c>
      <c r="B252" s="251" t="s">
        <v>565</v>
      </c>
      <c r="C252" s="253"/>
      <c r="D252" s="250"/>
      <c r="E252" s="261"/>
      <c r="F252" s="286"/>
      <c r="G252" s="286"/>
      <c r="H252" s="286"/>
      <c r="I252" s="286"/>
      <c r="J252" s="286"/>
      <c r="K252" s="286"/>
      <c r="L252" s="286"/>
      <c r="M252" s="286"/>
      <c r="N252" s="286"/>
      <c r="O252" s="286"/>
      <c r="P252" s="286"/>
      <c r="Q252" s="286"/>
      <c r="R252" s="286"/>
      <c r="S252" s="286"/>
      <c r="T252" s="254"/>
      <c r="U252" s="285"/>
      <c r="V252" s="285"/>
      <c r="W252" s="285"/>
      <c r="X252" s="285"/>
      <c r="Y252" s="285"/>
      <c r="Z252" s="285"/>
      <c r="AA252" s="285"/>
      <c r="AB252" s="285"/>
      <c r="AC252" s="285"/>
      <c r="AD252" s="285"/>
      <c r="AE252" s="287"/>
      <c r="AF252" s="287"/>
      <c r="AG252" s="287"/>
    </row>
    <row r="253" spans="1:33">
      <c r="A253" s="250" t="s">
        <v>571</v>
      </c>
      <c r="B253" s="251" t="s">
        <v>566</v>
      </c>
      <c r="C253" s="253"/>
      <c r="D253" s="250"/>
      <c r="E253" s="261"/>
      <c r="F253" s="286"/>
      <c r="G253" s="286"/>
      <c r="H253" s="286"/>
      <c r="I253" s="286"/>
      <c r="J253" s="286"/>
      <c r="K253" s="286"/>
      <c r="L253" s="286"/>
      <c r="M253" s="286"/>
      <c r="N253" s="286"/>
      <c r="O253" s="286"/>
      <c r="P253" s="286"/>
      <c r="Q253" s="286"/>
      <c r="R253" s="286"/>
      <c r="S253" s="286"/>
      <c r="T253" s="286"/>
      <c r="U253" s="254"/>
      <c r="V253" s="285"/>
      <c r="W253" s="285"/>
      <c r="X253" s="285"/>
      <c r="Y253" s="285"/>
      <c r="Z253" s="285"/>
      <c r="AA253" s="285"/>
      <c r="AB253" s="285"/>
      <c r="AC253" s="285"/>
      <c r="AD253" s="285"/>
      <c r="AE253" s="287"/>
      <c r="AF253" s="287"/>
      <c r="AG253" s="287"/>
    </row>
    <row r="254" spans="1:33">
      <c r="A254" s="250" t="s">
        <v>571</v>
      </c>
      <c r="B254" s="251" t="s">
        <v>567</v>
      </c>
      <c r="C254" s="253"/>
      <c r="D254" s="253"/>
      <c r="E254" s="261"/>
      <c r="F254" s="286"/>
      <c r="G254" s="286"/>
      <c r="H254" s="286"/>
      <c r="I254" s="286"/>
      <c r="J254" s="286"/>
      <c r="K254" s="286"/>
      <c r="L254" s="286"/>
      <c r="M254" s="286"/>
      <c r="N254" s="286"/>
      <c r="O254" s="286"/>
      <c r="P254" s="286"/>
      <c r="Q254" s="286"/>
      <c r="R254" s="286"/>
      <c r="S254" s="286"/>
      <c r="T254" s="286"/>
      <c r="U254" s="286"/>
      <c r="V254" s="254"/>
      <c r="W254" s="285"/>
      <c r="X254" s="285"/>
      <c r="Y254" s="285"/>
      <c r="Z254" s="285"/>
      <c r="AA254" s="285"/>
      <c r="AB254" s="285"/>
      <c r="AC254" s="285"/>
      <c r="AD254" s="285"/>
      <c r="AE254" s="287"/>
      <c r="AF254" s="287"/>
      <c r="AG254" s="287"/>
    </row>
    <row r="255" spans="1:33">
      <c r="A255" s="250" t="s">
        <v>571</v>
      </c>
      <c r="B255" s="251" t="s">
        <v>568</v>
      </c>
      <c r="C255" s="253"/>
      <c r="D255" s="253"/>
      <c r="E255" s="261"/>
      <c r="F255" s="286"/>
      <c r="G255" s="286"/>
      <c r="H255" s="286"/>
      <c r="I255" s="286"/>
      <c r="J255" s="286"/>
      <c r="K255" s="286"/>
      <c r="L255" s="286"/>
      <c r="M255" s="286"/>
      <c r="N255" s="286"/>
      <c r="O255" s="286"/>
      <c r="P255" s="286"/>
      <c r="Q255" s="286"/>
      <c r="R255" s="286"/>
      <c r="S255" s="286"/>
      <c r="T255" s="286"/>
      <c r="U255" s="286"/>
      <c r="V255" s="286"/>
      <c r="W255" s="254"/>
      <c r="X255" s="285"/>
      <c r="Y255" s="285"/>
      <c r="Z255" s="285"/>
      <c r="AA255" s="285"/>
      <c r="AB255" s="285"/>
      <c r="AC255" s="285"/>
      <c r="AD255" s="285"/>
      <c r="AE255" s="287"/>
      <c r="AF255" s="287"/>
      <c r="AG255" s="287"/>
    </row>
    <row r="256" spans="1:33">
      <c r="A256" s="250" t="s">
        <v>571</v>
      </c>
      <c r="B256" s="251" t="s">
        <v>569</v>
      </c>
      <c r="C256" s="253"/>
      <c r="D256" s="253"/>
      <c r="E256" s="261"/>
      <c r="F256" s="286"/>
      <c r="G256" s="286"/>
      <c r="H256" s="286"/>
      <c r="I256" s="286"/>
      <c r="J256" s="286"/>
      <c r="K256" s="286"/>
      <c r="L256" s="286"/>
      <c r="M256" s="286"/>
      <c r="N256" s="286"/>
      <c r="O256" s="286"/>
      <c r="P256" s="286"/>
      <c r="Q256" s="286"/>
      <c r="R256" s="286"/>
      <c r="S256" s="286"/>
      <c r="T256" s="286"/>
      <c r="U256" s="286"/>
      <c r="V256" s="286"/>
      <c r="W256" s="286"/>
      <c r="X256" s="254"/>
      <c r="Y256" s="285"/>
      <c r="Z256" s="285"/>
      <c r="AA256" s="285"/>
      <c r="AB256" s="285"/>
      <c r="AC256" s="285"/>
      <c r="AD256" s="285"/>
      <c r="AE256" s="287"/>
      <c r="AF256" s="287"/>
      <c r="AG256" s="287"/>
    </row>
    <row r="257" spans="1:33">
      <c r="A257" s="250" t="s">
        <v>571</v>
      </c>
      <c r="B257" s="251" t="s">
        <v>572</v>
      </c>
      <c r="C257" s="253"/>
      <c r="D257" s="253"/>
      <c r="E257" s="262"/>
      <c r="F257" s="286"/>
      <c r="G257" s="286"/>
      <c r="H257" s="286"/>
      <c r="I257" s="286"/>
      <c r="J257" s="286"/>
      <c r="K257" s="286"/>
      <c r="L257" s="286"/>
      <c r="M257" s="286"/>
      <c r="N257" s="286"/>
      <c r="O257" s="286"/>
      <c r="P257" s="286"/>
      <c r="Q257" s="286"/>
      <c r="R257" s="286"/>
      <c r="S257" s="286"/>
      <c r="T257" s="286"/>
      <c r="U257" s="286"/>
      <c r="V257" s="286"/>
      <c r="W257" s="286"/>
      <c r="X257" s="286"/>
      <c r="Y257" s="254"/>
      <c r="Z257" s="285"/>
      <c r="AA257" s="285"/>
      <c r="AB257" s="285"/>
      <c r="AC257" s="285"/>
      <c r="AD257" s="285"/>
      <c r="AE257" s="287"/>
      <c r="AF257" s="287"/>
      <c r="AG257" s="287"/>
    </row>
    <row r="258" spans="1:33">
      <c r="A258" s="250" t="s">
        <v>571</v>
      </c>
      <c r="B258" t="s">
        <v>573</v>
      </c>
      <c r="C258" s="253"/>
      <c r="D258" s="253"/>
      <c r="E258" s="262"/>
      <c r="F258" s="286"/>
      <c r="G258" s="286"/>
      <c r="H258" s="286"/>
      <c r="I258" s="286"/>
      <c r="J258" s="286"/>
      <c r="K258" s="286"/>
      <c r="L258" s="286"/>
      <c r="M258" s="286"/>
      <c r="N258" s="286"/>
      <c r="O258" s="286"/>
      <c r="P258" s="286"/>
      <c r="Q258" s="286"/>
      <c r="R258" s="286"/>
      <c r="S258" s="286"/>
      <c r="T258" s="286"/>
      <c r="U258" s="286"/>
      <c r="V258" s="286"/>
      <c r="W258" s="286"/>
      <c r="X258" s="286"/>
      <c r="Y258" s="286"/>
      <c r="Z258" s="254"/>
      <c r="AA258" s="285"/>
      <c r="AB258" s="285"/>
      <c r="AC258" s="285"/>
      <c r="AD258" s="285"/>
      <c r="AE258" s="287"/>
      <c r="AF258" s="287"/>
      <c r="AG258" s="287"/>
    </row>
    <row r="259" spans="1:33">
      <c r="A259" s="250" t="s">
        <v>571</v>
      </c>
      <c r="B259" t="s">
        <v>574</v>
      </c>
      <c r="C259" s="253"/>
      <c r="D259" s="253"/>
      <c r="E259" s="262"/>
      <c r="F259" s="286"/>
      <c r="G259" s="286"/>
      <c r="H259" s="286"/>
      <c r="I259" s="286"/>
      <c r="J259" s="286"/>
      <c r="K259" s="286"/>
      <c r="L259" s="286"/>
      <c r="M259" s="286"/>
      <c r="N259" s="286"/>
      <c r="O259" s="286"/>
      <c r="P259" s="286"/>
      <c r="Q259" s="286"/>
      <c r="R259" s="286"/>
      <c r="S259" s="286"/>
      <c r="T259" s="286"/>
      <c r="U259" s="286"/>
      <c r="V259" s="286"/>
      <c r="W259" s="286"/>
      <c r="X259" s="286"/>
      <c r="Y259" s="286"/>
      <c r="Z259" s="286"/>
      <c r="AA259" s="254"/>
      <c r="AB259" s="285"/>
      <c r="AC259" s="285"/>
      <c r="AD259" s="285"/>
      <c r="AE259" s="287"/>
      <c r="AF259" s="287"/>
      <c r="AG259" s="287"/>
    </row>
    <row r="260" spans="1:33">
      <c r="A260" s="250" t="s">
        <v>571</v>
      </c>
      <c r="B260" t="s">
        <v>575</v>
      </c>
      <c r="C260" s="253"/>
      <c r="D260" s="253"/>
      <c r="E260" s="262"/>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54"/>
      <c r="AC260" s="285"/>
      <c r="AD260" s="285"/>
      <c r="AE260" s="287"/>
      <c r="AF260" s="287"/>
      <c r="AG260" s="287"/>
    </row>
    <row r="261" spans="1:33">
      <c r="A261" s="250" t="s">
        <v>571</v>
      </c>
      <c r="B261" t="s">
        <v>576</v>
      </c>
      <c r="C261" s="253"/>
      <c r="D261" s="253"/>
      <c r="E261" s="262"/>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54"/>
      <c r="AD261" s="285"/>
      <c r="AE261" s="287"/>
      <c r="AF261" s="287"/>
      <c r="AG261" s="287"/>
    </row>
    <row r="262" spans="1:33">
      <c r="A262" s="250" t="s">
        <v>571</v>
      </c>
      <c r="B262" t="s">
        <v>577</v>
      </c>
      <c r="C262" s="253"/>
      <c r="D262" s="253"/>
      <c r="E262" s="262"/>
      <c r="F262" s="286"/>
      <c r="G262" s="286"/>
      <c r="H262" s="286"/>
      <c r="I262" s="286"/>
      <c r="J262" s="286"/>
      <c r="K262" s="286"/>
      <c r="L262" s="286"/>
      <c r="M262" s="286"/>
      <c r="N262" s="286"/>
      <c r="O262" s="286"/>
      <c r="P262" s="286"/>
      <c r="Q262" s="286"/>
      <c r="R262" s="286"/>
      <c r="S262" s="286"/>
      <c r="T262" s="286"/>
      <c r="U262" s="286"/>
      <c r="V262" s="286"/>
      <c r="W262" s="286"/>
      <c r="X262" s="286"/>
      <c r="Y262" s="286"/>
      <c r="Z262" s="286"/>
      <c r="AA262" s="286"/>
      <c r="AB262" s="286"/>
      <c r="AC262" s="286"/>
      <c r="AD262" s="254"/>
      <c r="AE262" s="287"/>
      <c r="AF262" s="287"/>
      <c r="AG262" s="287"/>
    </row>
    <row r="263" spans="1:33">
      <c r="A263" s="255"/>
      <c r="B263" s="256" t="s">
        <v>235</v>
      </c>
      <c r="C263" s="257"/>
      <c r="D263" s="257"/>
      <c r="E263" s="257"/>
      <c r="F263" s="257"/>
      <c r="G263" s="257"/>
      <c r="H263" s="257"/>
      <c r="I263" s="257"/>
      <c r="J263" s="257"/>
      <c r="K263" s="257"/>
      <c r="L263" s="257"/>
      <c r="M263" s="257"/>
      <c r="N263" s="257"/>
      <c r="O263" s="257"/>
      <c r="P263" s="257"/>
      <c r="Q263" s="257"/>
      <c r="R263" s="257"/>
      <c r="S263" s="257"/>
      <c r="T263" s="257"/>
      <c r="U263" s="257"/>
      <c r="V263" s="257"/>
      <c r="W263" s="257"/>
      <c r="X263" s="257"/>
      <c r="Y263" s="257"/>
      <c r="Z263" s="257"/>
      <c r="AA263" s="257"/>
      <c r="AB263" s="257"/>
      <c r="AC263" s="257"/>
      <c r="AD263" s="257"/>
      <c r="AE263" s="257"/>
      <c r="AF263" s="257"/>
      <c r="AG263" s="257"/>
    </row>
    <row r="264" spans="1:33">
      <c r="C264" s="265"/>
    </row>
    <row r="267" spans="1:33">
      <c r="B267" s="245" t="s">
        <v>215</v>
      </c>
      <c r="K267" s="283" t="s">
        <v>56</v>
      </c>
    </row>
    <row r="268" spans="1:33" ht="25.5">
      <c r="A268" s="246"/>
      <c r="B268" s="247" t="s">
        <v>543</v>
      </c>
      <c r="C268" s="1057" t="s">
        <v>579</v>
      </c>
      <c r="D268" s="1057" t="s">
        <v>545</v>
      </c>
      <c r="E268" s="1057" t="s">
        <v>546</v>
      </c>
      <c r="F268" s="1054" t="s">
        <v>547</v>
      </c>
      <c r="G268" s="1055"/>
      <c r="H268" s="1055"/>
      <c r="I268" s="1055"/>
      <c r="J268" s="1055"/>
      <c r="K268" s="1055"/>
      <c r="L268" s="1055"/>
      <c r="M268" s="1055"/>
      <c r="N268" s="1055"/>
      <c r="O268" s="1055"/>
      <c r="P268" s="1055"/>
      <c r="Q268" s="1055"/>
      <c r="R268" s="1055"/>
      <c r="S268" s="1055"/>
      <c r="T268" s="1055"/>
      <c r="U268" s="1055"/>
      <c r="V268" s="1055"/>
      <c r="W268" s="1055"/>
      <c r="X268" s="1055"/>
      <c r="Y268" s="1055"/>
      <c r="Z268" s="1055"/>
      <c r="AA268" s="1055"/>
      <c r="AB268" s="1055"/>
      <c r="AC268" s="1055"/>
      <c r="AD268" s="1056"/>
      <c r="AE268" s="284" t="s">
        <v>548</v>
      </c>
      <c r="AF268" s="284" t="s">
        <v>549</v>
      </c>
      <c r="AG268" s="284" t="s">
        <v>550</v>
      </c>
    </row>
    <row r="269" spans="1:33">
      <c r="A269" s="246"/>
      <c r="B269" s="247"/>
      <c r="C269" s="1058"/>
      <c r="D269" s="1058"/>
      <c r="E269" s="1058"/>
      <c r="F269" s="249" t="s">
        <v>551</v>
      </c>
      <c r="G269" s="249" t="s">
        <v>552</v>
      </c>
      <c r="H269" s="249" t="s">
        <v>553</v>
      </c>
      <c r="I269" s="249" t="s">
        <v>554</v>
      </c>
      <c r="J269" s="249" t="s">
        <v>555</v>
      </c>
      <c r="K269" s="249" t="s">
        <v>556</v>
      </c>
      <c r="L269" s="249" t="s">
        <v>557</v>
      </c>
      <c r="M269" s="249" t="s">
        <v>558</v>
      </c>
      <c r="N269" s="249" t="s">
        <v>559</v>
      </c>
      <c r="O269" s="249" t="s">
        <v>560</v>
      </c>
      <c r="P269" s="249" t="s">
        <v>561</v>
      </c>
      <c r="Q269" s="249" t="s">
        <v>562</v>
      </c>
      <c r="R269" s="249" t="s">
        <v>563</v>
      </c>
      <c r="S269" s="249" t="s">
        <v>564</v>
      </c>
      <c r="T269" s="249" t="s">
        <v>565</v>
      </c>
      <c r="U269" s="249" t="s">
        <v>566</v>
      </c>
      <c r="V269" s="249" t="s">
        <v>567</v>
      </c>
      <c r="W269" s="249" t="s">
        <v>568</v>
      </c>
      <c r="X269" s="249" t="s">
        <v>569</v>
      </c>
      <c r="Y269" s="249" t="s">
        <v>60</v>
      </c>
      <c r="Z269" s="249" t="s">
        <v>70</v>
      </c>
      <c r="AA269" s="249" t="s">
        <v>71</v>
      </c>
      <c r="AB269" s="249" t="s">
        <v>72</v>
      </c>
      <c r="AC269" s="249" t="s">
        <v>73</v>
      </c>
      <c r="AD269" s="249" t="s">
        <v>74</v>
      </c>
      <c r="AE269" s="284"/>
      <c r="AF269" s="284"/>
      <c r="AG269" s="284"/>
    </row>
    <row r="270" spans="1:33">
      <c r="A270" s="250" t="s">
        <v>570</v>
      </c>
      <c r="B270" s="251">
        <v>2005</v>
      </c>
      <c r="C270" s="250"/>
      <c r="D270" s="250"/>
      <c r="E270" s="261"/>
      <c r="F270" s="253"/>
      <c r="G270" s="253"/>
      <c r="H270" s="253"/>
      <c r="I270" s="253"/>
      <c r="J270" s="253"/>
      <c r="K270" s="285"/>
      <c r="L270" s="285"/>
      <c r="M270" s="285"/>
      <c r="N270" s="285"/>
      <c r="O270" s="285"/>
      <c r="P270" s="285"/>
      <c r="Q270" s="285"/>
      <c r="R270" s="285"/>
      <c r="S270" s="285"/>
      <c r="T270" s="285"/>
      <c r="U270" s="285"/>
      <c r="V270" s="285"/>
      <c r="W270" s="285"/>
      <c r="X270" s="285"/>
      <c r="Y270" s="285"/>
      <c r="Z270" s="285"/>
      <c r="AA270" s="285"/>
      <c r="AB270" s="285"/>
      <c r="AC270" s="285"/>
      <c r="AD270" s="285"/>
      <c r="AE270" s="287"/>
      <c r="AF270" s="287"/>
      <c r="AG270" s="287"/>
    </row>
    <row r="271" spans="1:33">
      <c r="A271" s="250" t="s">
        <v>571</v>
      </c>
      <c r="B271" s="251" t="s">
        <v>551</v>
      </c>
      <c r="C271" s="250"/>
      <c r="D271" s="250"/>
      <c r="E271" s="261"/>
      <c r="F271" s="254"/>
      <c r="G271" s="285"/>
      <c r="H271" s="285"/>
      <c r="I271" s="285"/>
      <c r="J271" s="285"/>
      <c r="K271" s="285"/>
      <c r="L271" s="285"/>
      <c r="M271" s="285"/>
      <c r="N271" s="285"/>
      <c r="O271" s="285"/>
      <c r="P271" s="285"/>
      <c r="Q271" s="285"/>
      <c r="R271" s="285"/>
      <c r="S271" s="285"/>
      <c r="T271" s="285"/>
      <c r="U271" s="285"/>
      <c r="V271" s="285"/>
      <c r="W271" s="285"/>
      <c r="X271" s="285"/>
      <c r="Y271" s="285"/>
      <c r="Z271" s="285"/>
      <c r="AA271" s="285"/>
      <c r="AB271" s="285"/>
      <c r="AC271" s="285"/>
      <c r="AD271" s="285"/>
      <c r="AE271" s="287"/>
      <c r="AF271" s="287"/>
      <c r="AG271" s="287"/>
    </row>
    <row r="272" spans="1:33">
      <c r="A272" s="250" t="s">
        <v>571</v>
      </c>
      <c r="B272" s="251" t="s">
        <v>552</v>
      </c>
      <c r="C272" s="250"/>
      <c r="D272" s="250"/>
      <c r="E272" s="261"/>
      <c r="F272" s="286"/>
      <c r="G272" s="254"/>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c r="AD272" s="285"/>
      <c r="AE272" s="287"/>
      <c r="AF272" s="287"/>
      <c r="AG272" s="287"/>
    </row>
    <row r="273" spans="1:33">
      <c r="A273" s="250" t="s">
        <v>571</v>
      </c>
      <c r="B273" s="251" t="s">
        <v>553</v>
      </c>
      <c r="C273" s="250"/>
      <c r="D273" s="250"/>
      <c r="E273" s="261"/>
      <c r="F273" s="286"/>
      <c r="G273" s="286"/>
      <c r="H273" s="254"/>
      <c r="I273" s="285"/>
      <c r="J273" s="285"/>
      <c r="K273" s="285"/>
      <c r="L273" s="285"/>
      <c r="M273" s="285"/>
      <c r="N273" s="285"/>
      <c r="O273" s="285"/>
      <c r="P273" s="285"/>
      <c r="Q273" s="285"/>
      <c r="R273" s="285"/>
      <c r="S273" s="285"/>
      <c r="T273" s="285"/>
      <c r="U273" s="285"/>
      <c r="V273" s="285"/>
      <c r="W273" s="285"/>
      <c r="X273" s="285"/>
      <c r="Y273" s="285"/>
      <c r="Z273" s="285"/>
      <c r="AA273" s="285"/>
      <c r="AB273" s="285"/>
      <c r="AC273" s="285"/>
      <c r="AD273" s="285"/>
      <c r="AE273" s="287"/>
      <c r="AF273" s="287"/>
      <c r="AG273" s="287"/>
    </row>
    <row r="274" spans="1:33">
      <c r="A274" s="250" t="s">
        <v>571</v>
      </c>
      <c r="B274" s="251" t="s">
        <v>554</v>
      </c>
      <c r="C274" s="250"/>
      <c r="D274" s="250"/>
      <c r="E274" s="261"/>
      <c r="F274" s="286"/>
      <c r="G274" s="286"/>
      <c r="H274" s="286"/>
      <c r="I274" s="254"/>
      <c r="J274" s="285"/>
      <c r="K274" s="285"/>
      <c r="L274" s="285"/>
      <c r="M274" s="285"/>
      <c r="N274" s="285"/>
      <c r="O274" s="285"/>
      <c r="P274" s="285"/>
      <c r="Q274" s="285"/>
      <c r="R274" s="285"/>
      <c r="S274" s="285"/>
      <c r="T274" s="285"/>
      <c r="U274" s="285"/>
      <c r="V274" s="285"/>
      <c r="W274" s="285"/>
      <c r="X274" s="285"/>
      <c r="Y274" s="285"/>
      <c r="Z274" s="285"/>
      <c r="AA274" s="285"/>
      <c r="AB274" s="285"/>
      <c r="AC274" s="285"/>
      <c r="AD274" s="285"/>
      <c r="AE274" s="287"/>
      <c r="AF274" s="287"/>
      <c r="AG274" s="287"/>
    </row>
    <row r="275" spans="1:33">
      <c r="A275" s="250" t="s">
        <v>571</v>
      </c>
      <c r="B275" s="251" t="s">
        <v>555</v>
      </c>
      <c r="C275" s="250"/>
      <c r="D275" s="250"/>
      <c r="E275" s="261"/>
      <c r="F275" s="286"/>
      <c r="G275" s="286"/>
      <c r="H275" s="286"/>
      <c r="I275" s="286"/>
      <c r="J275" s="254"/>
      <c r="K275" s="285"/>
      <c r="L275" s="285"/>
      <c r="M275" s="285"/>
      <c r="N275" s="285"/>
      <c r="O275" s="285"/>
      <c r="P275" s="285"/>
      <c r="Q275" s="285"/>
      <c r="R275" s="285"/>
      <c r="S275" s="285"/>
      <c r="T275" s="285"/>
      <c r="U275" s="285"/>
      <c r="V275" s="285"/>
      <c r="W275" s="285"/>
      <c r="X275" s="285"/>
      <c r="Y275" s="285"/>
      <c r="Z275" s="285"/>
      <c r="AA275" s="285"/>
      <c r="AB275" s="285"/>
      <c r="AC275" s="285"/>
      <c r="AD275" s="285"/>
      <c r="AE275" s="287"/>
      <c r="AF275" s="287"/>
      <c r="AG275" s="287"/>
    </row>
    <row r="276" spans="1:33">
      <c r="A276" s="250" t="s">
        <v>571</v>
      </c>
      <c r="B276" s="251" t="s">
        <v>556</v>
      </c>
      <c r="C276" s="250"/>
      <c r="D276" s="250"/>
      <c r="E276" s="261"/>
      <c r="F276" s="286"/>
      <c r="G276" s="286"/>
      <c r="H276" s="286"/>
      <c r="I276" s="286"/>
      <c r="J276" s="286"/>
      <c r="K276" s="254"/>
      <c r="L276" s="285"/>
      <c r="M276" s="285"/>
      <c r="N276" s="285"/>
      <c r="O276" s="285"/>
      <c r="P276" s="285"/>
      <c r="Q276" s="285"/>
      <c r="R276" s="285"/>
      <c r="S276" s="285"/>
      <c r="T276" s="285"/>
      <c r="U276" s="285"/>
      <c r="V276" s="285"/>
      <c r="W276" s="285"/>
      <c r="X276" s="285"/>
      <c r="Y276" s="285"/>
      <c r="Z276" s="285"/>
      <c r="AA276" s="285"/>
      <c r="AB276" s="285"/>
      <c r="AC276" s="285"/>
      <c r="AD276" s="285"/>
      <c r="AE276" s="287"/>
      <c r="AF276" s="287"/>
      <c r="AG276" s="287"/>
    </row>
    <row r="277" spans="1:33">
      <c r="A277" s="250" t="s">
        <v>571</v>
      </c>
      <c r="B277" s="251" t="s">
        <v>557</v>
      </c>
      <c r="C277" s="250"/>
      <c r="D277" s="250"/>
      <c r="E277" s="261"/>
      <c r="F277" s="286"/>
      <c r="G277" s="286"/>
      <c r="H277" s="286"/>
      <c r="I277" s="286"/>
      <c r="J277" s="286"/>
      <c r="K277" s="286"/>
      <c r="L277" s="254"/>
      <c r="M277" s="285"/>
      <c r="N277" s="285"/>
      <c r="O277" s="285"/>
      <c r="P277" s="285"/>
      <c r="Q277" s="285"/>
      <c r="R277" s="285"/>
      <c r="S277" s="285"/>
      <c r="T277" s="285"/>
      <c r="U277" s="285"/>
      <c r="V277" s="285"/>
      <c r="W277" s="285"/>
      <c r="X277" s="285"/>
      <c r="Y277" s="285"/>
      <c r="Z277" s="285"/>
      <c r="AA277" s="285"/>
      <c r="AB277" s="285"/>
      <c r="AC277" s="285"/>
      <c r="AD277" s="285"/>
      <c r="AE277" s="287"/>
      <c r="AF277" s="287"/>
      <c r="AG277" s="287"/>
    </row>
    <row r="278" spans="1:33">
      <c r="A278" s="250" t="s">
        <v>571</v>
      </c>
      <c r="B278" s="251" t="s">
        <v>558</v>
      </c>
      <c r="C278" s="250"/>
      <c r="D278" s="250"/>
      <c r="E278" s="261"/>
      <c r="F278" s="286"/>
      <c r="G278" s="286"/>
      <c r="H278" s="286"/>
      <c r="I278" s="286"/>
      <c r="J278" s="286"/>
      <c r="K278" s="286"/>
      <c r="L278" s="286"/>
      <c r="M278" s="254"/>
      <c r="N278" s="285"/>
      <c r="O278" s="285"/>
      <c r="P278" s="285"/>
      <c r="Q278" s="285"/>
      <c r="R278" s="285"/>
      <c r="S278" s="285"/>
      <c r="T278" s="285"/>
      <c r="U278" s="285"/>
      <c r="V278" s="285"/>
      <c r="W278" s="285"/>
      <c r="X278" s="285"/>
      <c r="Y278" s="285"/>
      <c r="Z278" s="285"/>
      <c r="AA278" s="285"/>
      <c r="AB278" s="285"/>
      <c r="AC278" s="285"/>
      <c r="AD278" s="285"/>
      <c r="AE278" s="287"/>
      <c r="AF278" s="287"/>
      <c r="AG278" s="287"/>
    </row>
    <row r="279" spans="1:33">
      <c r="A279" s="250" t="s">
        <v>571</v>
      </c>
      <c r="B279" s="251" t="s">
        <v>559</v>
      </c>
      <c r="C279" s="250"/>
      <c r="D279" s="250"/>
      <c r="E279" s="261"/>
      <c r="F279" s="286"/>
      <c r="G279" s="286"/>
      <c r="H279" s="286"/>
      <c r="I279" s="286"/>
      <c r="J279" s="286"/>
      <c r="K279" s="286"/>
      <c r="L279" s="286"/>
      <c r="M279" s="286"/>
      <c r="N279" s="254"/>
      <c r="O279" s="285"/>
      <c r="P279" s="285"/>
      <c r="Q279" s="285"/>
      <c r="R279" s="285"/>
      <c r="S279" s="285"/>
      <c r="T279" s="285"/>
      <c r="U279" s="285"/>
      <c r="V279" s="285"/>
      <c r="W279" s="285"/>
      <c r="X279" s="285"/>
      <c r="Y279" s="285"/>
      <c r="Z279" s="285"/>
      <c r="AA279" s="285"/>
      <c r="AB279" s="285"/>
      <c r="AC279" s="285"/>
      <c r="AD279" s="285"/>
      <c r="AE279" s="287"/>
      <c r="AF279" s="287"/>
      <c r="AG279" s="287"/>
    </row>
    <row r="280" spans="1:33">
      <c r="A280" s="250" t="s">
        <v>571</v>
      </c>
      <c r="B280" s="251" t="s">
        <v>560</v>
      </c>
      <c r="C280" s="250"/>
      <c r="D280" s="250"/>
      <c r="E280" s="261"/>
      <c r="F280" s="286"/>
      <c r="G280" s="286"/>
      <c r="H280" s="286"/>
      <c r="I280" s="286"/>
      <c r="J280" s="286"/>
      <c r="K280" s="286"/>
      <c r="L280" s="286"/>
      <c r="M280" s="286"/>
      <c r="N280" s="286"/>
      <c r="O280" s="254"/>
      <c r="P280" s="285"/>
      <c r="Q280" s="285"/>
      <c r="R280" s="285"/>
      <c r="S280" s="285"/>
      <c r="T280" s="285"/>
      <c r="U280" s="285"/>
      <c r="V280" s="285"/>
      <c r="W280" s="285"/>
      <c r="X280" s="285"/>
      <c r="Y280" s="285"/>
      <c r="Z280" s="285"/>
      <c r="AA280" s="285"/>
      <c r="AB280" s="285"/>
      <c r="AC280" s="285"/>
      <c r="AD280" s="285"/>
      <c r="AE280" s="287"/>
      <c r="AF280" s="287"/>
      <c r="AG280" s="287"/>
    </row>
    <row r="281" spans="1:33">
      <c r="A281" s="250" t="s">
        <v>571</v>
      </c>
      <c r="B281" s="251" t="s">
        <v>561</v>
      </c>
      <c r="C281" s="250"/>
      <c r="D281" s="250"/>
      <c r="E281" s="261"/>
      <c r="F281" s="286"/>
      <c r="G281" s="286"/>
      <c r="H281" s="286"/>
      <c r="I281" s="286"/>
      <c r="J281" s="286"/>
      <c r="K281" s="286"/>
      <c r="L281" s="286"/>
      <c r="M281" s="286"/>
      <c r="N281" s="286"/>
      <c r="O281" s="286"/>
      <c r="P281" s="254"/>
      <c r="Q281" s="285"/>
      <c r="R281" s="285"/>
      <c r="S281" s="285"/>
      <c r="T281" s="285"/>
      <c r="U281" s="285"/>
      <c r="V281" s="285"/>
      <c r="W281" s="285"/>
      <c r="X281" s="285"/>
      <c r="Y281" s="285"/>
      <c r="Z281" s="285"/>
      <c r="AA281" s="285"/>
      <c r="AB281" s="285"/>
      <c r="AC281" s="285"/>
      <c r="AD281" s="285"/>
      <c r="AE281" s="287"/>
      <c r="AF281" s="287"/>
      <c r="AG281" s="287"/>
    </row>
    <row r="282" spans="1:33">
      <c r="A282" s="250" t="s">
        <v>571</v>
      </c>
      <c r="B282" s="251" t="s">
        <v>562</v>
      </c>
      <c r="C282" s="250"/>
      <c r="D282" s="250"/>
      <c r="E282" s="261"/>
      <c r="F282" s="286"/>
      <c r="G282" s="286"/>
      <c r="H282" s="286"/>
      <c r="I282" s="286"/>
      <c r="J282" s="286"/>
      <c r="K282" s="286"/>
      <c r="L282" s="286"/>
      <c r="M282" s="286"/>
      <c r="N282" s="286"/>
      <c r="O282" s="286"/>
      <c r="P282" s="286"/>
      <c r="Q282" s="254"/>
      <c r="R282" s="285"/>
      <c r="S282" s="285"/>
      <c r="T282" s="285"/>
      <c r="U282" s="285"/>
      <c r="V282" s="285"/>
      <c r="W282" s="285"/>
      <c r="X282" s="285"/>
      <c r="Y282" s="285"/>
      <c r="Z282" s="285"/>
      <c r="AA282" s="285"/>
      <c r="AB282" s="285"/>
      <c r="AC282" s="285"/>
      <c r="AD282" s="285"/>
      <c r="AE282" s="287"/>
      <c r="AF282" s="287"/>
      <c r="AG282" s="287"/>
    </row>
    <row r="283" spans="1:33">
      <c r="A283" s="250" t="s">
        <v>571</v>
      </c>
      <c r="B283" s="251" t="s">
        <v>563</v>
      </c>
      <c r="C283" s="250"/>
      <c r="D283" s="250"/>
      <c r="E283" s="261"/>
      <c r="F283" s="286"/>
      <c r="G283" s="286"/>
      <c r="H283" s="286"/>
      <c r="I283" s="286"/>
      <c r="J283" s="286"/>
      <c r="K283" s="286"/>
      <c r="L283" s="286"/>
      <c r="M283" s="286"/>
      <c r="N283" s="286"/>
      <c r="O283" s="286"/>
      <c r="P283" s="286"/>
      <c r="Q283" s="286"/>
      <c r="R283" s="254"/>
      <c r="S283" s="285"/>
      <c r="T283" s="285"/>
      <c r="U283" s="285"/>
      <c r="V283" s="285"/>
      <c r="W283" s="285"/>
      <c r="X283" s="285"/>
      <c r="Y283" s="285"/>
      <c r="Z283" s="285"/>
      <c r="AA283" s="285"/>
      <c r="AB283" s="285"/>
      <c r="AC283" s="285"/>
      <c r="AD283" s="285"/>
      <c r="AE283" s="287"/>
      <c r="AF283" s="287"/>
      <c r="AG283" s="287"/>
    </row>
    <row r="284" spans="1:33">
      <c r="A284" s="250" t="s">
        <v>571</v>
      </c>
      <c r="B284" s="251" t="s">
        <v>564</v>
      </c>
      <c r="C284" s="250"/>
      <c r="D284" s="250"/>
      <c r="E284" s="261"/>
      <c r="F284" s="286"/>
      <c r="G284" s="286"/>
      <c r="H284" s="286"/>
      <c r="I284" s="286"/>
      <c r="J284" s="286"/>
      <c r="K284" s="286"/>
      <c r="L284" s="286"/>
      <c r="M284" s="286"/>
      <c r="N284" s="286"/>
      <c r="O284" s="286"/>
      <c r="P284" s="286"/>
      <c r="Q284" s="286"/>
      <c r="R284" s="286"/>
      <c r="S284" s="254"/>
      <c r="T284" s="285"/>
      <c r="U284" s="285"/>
      <c r="V284" s="285"/>
      <c r="W284" s="285"/>
      <c r="X284" s="285"/>
      <c r="Y284" s="285"/>
      <c r="Z284" s="285"/>
      <c r="AA284" s="285"/>
      <c r="AB284" s="285"/>
      <c r="AC284" s="285"/>
      <c r="AD284" s="285"/>
      <c r="AE284" s="287"/>
      <c r="AF284" s="287"/>
      <c r="AG284" s="287"/>
    </row>
    <row r="285" spans="1:33">
      <c r="A285" s="250" t="s">
        <v>571</v>
      </c>
      <c r="B285" s="251" t="s">
        <v>565</v>
      </c>
      <c r="C285" s="253"/>
      <c r="D285" s="250"/>
      <c r="E285" s="261"/>
      <c r="F285" s="286"/>
      <c r="G285" s="286"/>
      <c r="H285" s="286"/>
      <c r="I285" s="286"/>
      <c r="J285" s="286"/>
      <c r="K285" s="286"/>
      <c r="L285" s="286"/>
      <c r="M285" s="286"/>
      <c r="N285" s="286"/>
      <c r="O285" s="286"/>
      <c r="P285" s="286"/>
      <c r="Q285" s="286"/>
      <c r="R285" s="286"/>
      <c r="S285" s="286"/>
      <c r="T285" s="254"/>
      <c r="U285" s="285"/>
      <c r="V285" s="285"/>
      <c r="W285" s="285"/>
      <c r="X285" s="285"/>
      <c r="Y285" s="285"/>
      <c r="Z285" s="285"/>
      <c r="AA285" s="285"/>
      <c r="AB285" s="285"/>
      <c r="AC285" s="285"/>
      <c r="AD285" s="285"/>
      <c r="AE285" s="287"/>
      <c r="AF285" s="287"/>
      <c r="AG285" s="287"/>
    </row>
    <row r="286" spans="1:33">
      <c r="A286" s="250" t="s">
        <v>571</v>
      </c>
      <c r="B286" s="251" t="s">
        <v>566</v>
      </c>
      <c r="C286" s="253"/>
      <c r="D286" s="250"/>
      <c r="E286" s="261"/>
      <c r="F286" s="286"/>
      <c r="G286" s="286"/>
      <c r="H286" s="286"/>
      <c r="I286" s="286"/>
      <c r="J286" s="286"/>
      <c r="K286" s="286"/>
      <c r="L286" s="286"/>
      <c r="M286" s="286"/>
      <c r="N286" s="286"/>
      <c r="O286" s="286"/>
      <c r="P286" s="286"/>
      <c r="Q286" s="286"/>
      <c r="R286" s="286"/>
      <c r="S286" s="286"/>
      <c r="T286" s="286"/>
      <c r="U286" s="254"/>
      <c r="V286" s="285"/>
      <c r="W286" s="285"/>
      <c r="X286" s="285"/>
      <c r="Y286" s="285"/>
      <c r="Z286" s="285"/>
      <c r="AA286" s="285"/>
      <c r="AB286" s="285"/>
      <c r="AC286" s="285"/>
      <c r="AD286" s="285"/>
      <c r="AE286" s="287"/>
      <c r="AF286" s="287"/>
      <c r="AG286" s="287"/>
    </row>
    <row r="287" spans="1:33">
      <c r="A287" s="250" t="s">
        <v>571</v>
      </c>
      <c r="B287" s="251" t="s">
        <v>567</v>
      </c>
      <c r="C287" s="253"/>
      <c r="D287" s="253"/>
      <c r="E287" s="261"/>
      <c r="F287" s="286"/>
      <c r="G287" s="286"/>
      <c r="H287" s="286"/>
      <c r="I287" s="286"/>
      <c r="J287" s="286"/>
      <c r="K287" s="286"/>
      <c r="L287" s="286"/>
      <c r="M287" s="286"/>
      <c r="N287" s="286"/>
      <c r="O287" s="286"/>
      <c r="P287" s="286"/>
      <c r="Q287" s="286"/>
      <c r="R287" s="286"/>
      <c r="S287" s="286"/>
      <c r="T287" s="286"/>
      <c r="U287" s="286"/>
      <c r="V287" s="254"/>
      <c r="W287" s="285"/>
      <c r="X287" s="285"/>
      <c r="Y287" s="285"/>
      <c r="Z287" s="285"/>
      <c r="AA287" s="285"/>
      <c r="AB287" s="285"/>
      <c r="AC287" s="285"/>
      <c r="AD287" s="285"/>
      <c r="AE287" s="287"/>
      <c r="AF287" s="287"/>
      <c r="AG287" s="287"/>
    </row>
    <row r="288" spans="1:33">
      <c r="A288" s="250" t="s">
        <v>571</v>
      </c>
      <c r="B288" s="251" t="s">
        <v>568</v>
      </c>
      <c r="C288" s="253"/>
      <c r="D288" s="253"/>
      <c r="E288" s="261"/>
      <c r="F288" s="286"/>
      <c r="G288" s="286"/>
      <c r="H288" s="286"/>
      <c r="I288" s="286"/>
      <c r="J288" s="286"/>
      <c r="K288" s="286"/>
      <c r="L288" s="286"/>
      <c r="M288" s="286"/>
      <c r="N288" s="286"/>
      <c r="O288" s="286"/>
      <c r="P288" s="286"/>
      <c r="Q288" s="286"/>
      <c r="R288" s="286"/>
      <c r="S288" s="286"/>
      <c r="T288" s="286"/>
      <c r="U288" s="286"/>
      <c r="V288" s="286"/>
      <c r="W288" s="254"/>
      <c r="X288" s="285"/>
      <c r="Y288" s="285"/>
      <c r="Z288" s="285"/>
      <c r="AA288" s="285"/>
      <c r="AB288" s="285"/>
      <c r="AC288" s="285"/>
      <c r="AD288" s="285"/>
      <c r="AE288" s="287"/>
      <c r="AF288" s="287"/>
      <c r="AG288" s="287"/>
    </row>
    <row r="289" spans="1:33">
      <c r="A289" s="250" t="s">
        <v>571</v>
      </c>
      <c r="B289" s="251" t="s">
        <v>569</v>
      </c>
      <c r="C289" s="253"/>
      <c r="D289" s="253"/>
      <c r="E289" s="261"/>
      <c r="F289" s="286"/>
      <c r="G289" s="286"/>
      <c r="H289" s="286"/>
      <c r="I289" s="286"/>
      <c r="J289" s="286"/>
      <c r="K289" s="286"/>
      <c r="L289" s="286"/>
      <c r="M289" s="286"/>
      <c r="N289" s="286"/>
      <c r="O289" s="286"/>
      <c r="P289" s="286"/>
      <c r="Q289" s="286"/>
      <c r="R289" s="286"/>
      <c r="S289" s="286"/>
      <c r="T289" s="286"/>
      <c r="U289" s="286"/>
      <c r="V289" s="286"/>
      <c r="W289" s="286"/>
      <c r="X289" s="254"/>
      <c r="Y289" s="285"/>
      <c r="Z289" s="285"/>
      <c r="AA289" s="285"/>
      <c r="AB289" s="285"/>
      <c r="AC289" s="285"/>
      <c r="AD289" s="285"/>
      <c r="AE289" s="287"/>
      <c r="AF289" s="287"/>
      <c r="AG289" s="287"/>
    </row>
    <row r="290" spans="1:33">
      <c r="A290" s="250" t="s">
        <v>571</v>
      </c>
      <c r="B290" s="251" t="s">
        <v>572</v>
      </c>
      <c r="C290" s="253"/>
      <c r="D290" s="253"/>
      <c r="E290" s="262"/>
      <c r="F290" s="286"/>
      <c r="G290" s="286"/>
      <c r="H290" s="286"/>
      <c r="I290" s="286"/>
      <c r="J290" s="286"/>
      <c r="K290" s="286"/>
      <c r="L290" s="286"/>
      <c r="M290" s="286"/>
      <c r="N290" s="286"/>
      <c r="O290" s="286"/>
      <c r="P290" s="286"/>
      <c r="Q290" s="286"/>
      <c r="R290" s="286"/>
      <c r="S290" s="286"/>
      <c r="T290" s="286"/>
      <c r="U290" s="286"/>
      <c r="V290" s="286"/>
      <c r="W290" s="286"/>
      <c r="X290" s="286"/>
      <c r="Y290" s="254"/>
      <c r="Z290" s="285"/>
      <c r="AA290" s="285"/>
      <c r="AB290" s="285"/>
      <c r="AC290" s="285"/>
      <c r="AD290" s="285"/>
      <c r="AE290" s="287"/>
      <c r="AF290" s="287"/>
      <c r="AG290" s="287"/>
    </row>
    <row r="291" spans="1:33">
      <c r="A291" s="250" t="s">
        <v>571</v>
      </c>
      <c r="B291" t="s">
        <v>573</v>
      </c>
      <c r="C291" s="253"/>
      <c r="D291" s="253"/>
      <c r="E291" s="262"/>
      <c r="F291" s="286"/>
      <c r="G291" s="286"/>
      <c r="H291" s="286"/>
      <c r="I291" s="286"/>
      <c r="J291" s="286"/>
      <c r="K291" s="286"/>
      <c r="L291" s="286"/>
      <c r="M291" s="286"/>
      <c r="N291" s="286"/>
      <c r="O291" s="286"/>
      <c r="P291" s="286"/>
      <c r="Q291" s="286"/>
      <c r="R291" s="286"/>
      <c r="S291" s="286"/>
      <c r="T291" s="286"/>
      <c r="U291" s="286"/>
      <c r="V291" s="286"/>
      <c r="W291" s="286"/>
      <c r="X291" s="286"/>
      <c r="Y291" s="286"/>
      <c r="Z291" s="254"/>
      <c r="AA291" s="285"/>
      <c r="AB291" s="285"/>
      <c r="AC291" s="285"/>
      <c r="AD291" s="285"/>
      <c r="AE291" s="287"/>
      <c r="AF291" s="287"/>
      <c r="AG291" s="287"/>
    </row>
    <row r="292" spans="1:33">
      <c r="A292" s="250" t="s">
        <v>571</v>
      </c>
      <c r="B292" t="s">
        <v>574</v>
      </c>
      <c r="C292" s="253"/>
      <c r="D292" s="253"/>
      <c r="E292" s="262"/>
      <c r="F292" s="286"/>
      <c r="G292" s="286"/>
      <c r="H292" s="286"/>
      <c r="I292" s="286"/>
      <c r="J292" s="286"/>
      <c r="K292" s="286"/>
      <c r="L292" s="286"/>
      <c r="M292" s="286"/>
      <c r="N292" s="286"/>
      <c r="O292" s="286"/>
      <c r="P292" s="286"/>
      <c r="Q292" s="286"/>
      <c r="R292" s="286"/>
      <c r="S292" s="286"/>
      <c r="T292" s="286"/>
      <c r="U292" s="286"/>
      <c r="V292" s="286"/>
      <c r="W292" s="286"/>
      <c r="X292" s="286"/>
      <c r="Y292" s="286"/>
      <c r="Z292" s="286"/>
      <c r="AA292" s="254"/>
      <c r="AB292" s="285"/>
      <c r="AC292" s="285"/>
      <c r="AD292" s="285"/>
      <c r="AE292" s="287"/>
      <c r="AF292" s="287"/>
      <c r="AG292" s="287"/>
    </row>
    <row r="293" spans="1:33">
      <c r="A293" s="250" t="s">
        <v>571</v>
      </c>
      <c r="B293" t="s">
        <v>575</v>
      </c>
      <c r="C293" s="253"/>
      <c r="D293" s="253"/>
      <c r="E293" s="262"/>
      <c r="F293" s="286"/>
      <c r="G293" s="286"/>
      <c r="H293" s="286"/>
      <c r="I293" s="286"/>
      <c r="J293" s="286"/>
      <c r="K293" s="286"/>
      <c r="L293" s="286"/>
      <c r="M293" s="286"/>
      <c r="N293" s="286"/>
      <c r="O293" s="286"/>
      <c r="P293" s="286"/>
      <c r="Q293" s="286"/>
      <c r="R293" s="286"/>
      <c r="S293" s="286"/>
      <c r="T293" s="286"/>
      <c r="U293" s="286"/>
      <c r="V293" s="286"/>
      <c r="W293" s="286"/>
      <c r="X293" s="286"/>
      <c r="Y293" s="286"/>
      <c r="Z293" s="286"/>
      <c r="AA293" s="286"/>
      <c r="AB293" s="254"/>
      <c r="AC293" s="285"/>
      <c r="AD293" s="285"/>
      <c r="AE293" s="287"/>
      <c r="AF293" s="287"/>
      <c r="AG293" s="287"/>
    </row>
    <row r="294" spans="1:33">
      <c r="A294" s="250" t="s">
        <v>571</v>
      </c>
      <c r="B294" t="s">
        <v>576</v>
      </c>
      <c r="C294" s="253"/>
      <c r="D294" s="253"/>
      <c r="E294" s="262"/>
      <c r="F294" s="286"/>
      <c r="G294" s="286"/>
      <c r="H294" s="286"/>
      <c r="I294" s="286"/>
      <c r="J294" s="286"/>
      <c r="K294" s="286"/>
      <c r="L294" s="286"/>
      <c r="M294" s="286"/>
      <c r="N294" s="286"/>
      <c r="O294" s="286"/>
      <c r="P294" s="286"/>
      <c r="Q294" s="286"/>
      <c r="R294" s="286"/>
      <c r="S294" s="286"/>
      <c r="T294" s="286"/>
      <c r="U294" s="286"/>
      <c r="V294" s="286"/>
      <c r="W294" s="286"/>
      <c r="X294" s="286"/>
      <c r="Y294" s="286"/>
      <c r="Z294" s="286"/>
      <c r="AA294" s="286"/>
      <c r="AB294" s="286"/>
      <c r="AC294" s="254"/>
      <c r="AD294" s="285"/>
      <c r="AE294" s="287"/>
      <c r="AF294" s="287"/>
      <c r="AG294" s="287"/>
    </row>
    <row r="295" spans="1:33">
      <c r="A295" s="250" t="s">
        <v>571</v>
      </c>
      <c r="B295" t="s">
        <v>577</v>
      </c>
      <c r="C295" s="253"/>
      <c r="D295" s="253"/>
      <c r="E295" s="262"/>
      <c r="F295" s="286"/>
      <c r="G295" s="286"/>
      <c r="H295" s="286"/>
      <c r="I295" s="286"/>
      <c r="J295" s="286"/>
      <c r="K295" s="286"/>
      <c r="L295" s="286"/>
      <c r="M295" s="286"/>
      <c r="N295" s="286"/>
      <c r="O295" s="286"/>
      <c r="P295" s="286"/>
      <c r="Q295" s="286"/>
      <c r="R295" s="286"/>
      <c r="S295" s="286"/>
      <c r="T295" s="286"/>
      <c r="U295" s="286"/>
      <c r="V295" s="286"/>
      <c r="W295" s="286"/>
      <c r="X295" s="286"/>
      <c r="Y295" s="286"/>
      <c r="Z295" s="286"/>
      <c r="AA295" s="286"/>
      <c r="AB295" s="286"/>
      <c r="AC295" s="286"/>
      <c r="AD295" s="254"/>
      <c r="AE295" s="287"/>
      <c r="AF295" s="287"/>
      <c r="AG295" s="287"/>
    </row>
    <row r="296" spans="1:33">
      <c r="A296" s="255"/>
      <c r="B296" s="256" t="s">
        <v>235</v>
      </c>
      <c r="C296" s="257"/>
      <c r="D296" s="257"/>
      <c r="E296" s="257"/>
      <c r="F296" s="257"/>
      <c r="G296" s="257"/>
      <c r="H296" s="257"/>
      <c r="I296" s="257"/>
      <c r="J296" s="257"/>
      <c r="K296" s="257"/>
      <c r="L296" s="257"/>
      <c r="M296" s="257"/>
      <c r="N296" s="257"/>
      <c r="O296" s="257"/>
      <c r="P296" s="257"/>
      <c r="Q296" s="257"/>
      <c r="R296" s="257"/>
      <c r="S296" s="257"/>
      <c r="T296" s="257"/>
      <c r="U296" s="257"/>
      <c r="V296" s="257"/>
      <c r="W296" s="257"/>
      <c r="X296" s="257"/>
      <c r="Y296" s="257"/>
      <c r="Z296" s="257"/>
      <c r="AA296" s="257"/>
      <c r="AB296" s="257"/>
      <c r="AC296" s="257"/>
      <c r="AD296" s="257"/>
      <c r="AE296" s="257"/>
      <c r="AF296" s="257"/>
      <c r="AG296" s="257"/>
    </row>
    <row r="297" spans="1:33">
      <c r="C297" s="265"/>
    </row>
    <row r="300" spans="1:33">
      <c r="B300" s="245" t="s">
        <v>235</v>
      </c>
      <c r="K300" s="283" t="s">
        <v>56</v>
      </c>
    </row>
    <row r="301" spans="1:33" ht="25.5">
      <c r="A301" s="246"/>
      <c r="B301" s="247" t="s">
        <v>543</v>
      </c>
      <c r="C301" s="1057" t="s">
        <v>579</v>
      </c>
      <c r="D301" s="1057" t="s">
        <v>545</v>
      </c>
      <c r="E301" s="1057" t="s">
        <v>546</v>
      </c>
      <c r="F301" s="1054" t="s">
        <v>547</v>
      </c>
      <c r="G301" s="1055"/>
      <c r="H301" s="1055"/>
      <c r="I301" s="1055"/>
      <c r="J301" s="1055"/>
      <c r="K301" s="1055"/>
      <c r="L301" s="1055"/>
      <c r="M301" s="1055"/>
      <c r="N301" s="1055"/>
      <c r="O301" s="1055"/>
      <c r="P301" s="1055"/>
      <c r="Q301" s="1055"/>
      <c r="R301" s="1055"/>
      <c r="S301" s="1055"/>
      <c r="T301" s="1055"/>
      <c r="U301" s="1055"/>
      <c r="V301" s="1055"/>
      <c r="W301" s="1055"/>
      <c r="X301" s="1055"/>
      <c r="Y301" s="1055"/>
      <c r="Z301" s="1055"/>
      <c r="AA301" s="1055"/>
      <c r="AB301" s="1055"/>
      <c r="AC301" s="1055"/>
      <c r="AD301" s="1056"/>
      <c r="AE301" s="284" t="s">
        <v>548</v>
      </c>
      <c r="AF301" s="284" t="s">
        <v>549</v>
      </c>
      <c r="AG301" s="284" t="s">
        <v>550</v>
      </c>
    </row>
    <row r="302" spans="1:33">
      <c r="A302" s="246"/>
      <c r="B302" s="247"/>
      <c r="C302" s="1058"/>
      <c r="D302" s="1058"/>
      <c r="E302" s="1058"/>
      <c r="F302" s="249" t="s">
        <v>551</v>
      </c>
      <c r="G302" s="249" t="s">
        <v>552</v>
      </c>
      <c r="H302" s="249" t="s">
        <v>553</v>
      </c>
      <c r="I302" s="249" t="s">
        <v>554</v>
      </c>
      <c r="J302" s="249" t="s">
        <v>555</v>
      </c>
      <c r="K302" s="249" t="s">
        <v>556</v>
      </c>
      <c r="L302" s="249" t="s">
        <v>557</v>
      </c>
      <c r="M302" s="249" t="s">
        <v>558</v>
      </c>
      <c r="N302" s="249" t="s">
        <v>559</v>
      </c>
      <c r="O302" s="249" t="s">
        <v>560</v>
      </c>
      <c r="P302" s="249" t="s">
        <v>561</v>
      </c>
      <c r="Q302" s="249" t="s">
        <v>562</v>
      </c>
      <c r="R302" s="249" t="s">
        <v>563</v>
      </c>
      <c r="S302" s="249" t="s">
        <v>564</v>
      </c>
      <c r="T302" s="249" t="s">
        <v>565</v>
      </c>
      <c r="U302" s="249" t="s">
        <v>566</v>
      </c>
      <c r="V302" s="249" t="s">
        <v>567</v>
      </c>
      <c r="W302" s="249" t="s">
        <v>568</v>
      </c>
      <c r="X302" s="249" t="s">
        <v>569</v>
      </c>
      <c r="Y302" s="249" t="s">
        <v>60</v>
      </c>
      <c r="Z302" s="249" t="s">
        <v>70</v>
      </c>
      <c r="AA302" s="249" t="s">
        <v>71</v>
      </c>
      <c r="AB302" s="249" t="s">
        <v>72</v>
      </c>
      <c r="AC302" s="249" t="s">
        <v>73</v>
      </c>
      <c r="AD302" s="249" t="s">
        <v>74</v>
      </c>
      <c r="AE302" s="284"/>
      <c r="AF302" s="284"/>
      <c r="AG302" s="284"/>
    </row>
    <row r="303" spans="1:33">
      <c r="A303" s="250" t="s">
        <v>570</v>
      </c>
      <c r="B303" s="251">
        <v>2005</v>
      </c>
      <c r="C303" s="289"/>
      <c r="D303" s="289"/>
      <c r="E303" s="261"/>
      <c r="F303" s="253"/>
      <c r="G303" s="253"/>
      <c r="H303" s="253"/>
      <c r="I303" s="253"/>
      <c r="J303" s="253"/>
      <c r="K303" s="285"/>
      <c r="L303" s="285"/>
      <c r="M303" s="285"/>
      <c r="N303" s="285"/>
      <c r="O303" s="285"/>
      <c r="P303" s="285"/>
      <c r="Q303" s="285"/>
      <c r="R303" s="285"/>
      <c r="S303" s="285"/>
      <c r="T303" s="285"/>
      <c r="U303" s="285"/>
      <c r="V303" s="285"/>
      <c r="W303" s="285"/>
      <c r="X303" s="285"/>
      <c r="Y303" s="285"/>
      <c r="Z303" s="285"/>
      <c r="AA303" s="285"/>
      <c r="AB303" s="285"/>
      <c r="AC303" s="285"/>
      <c r="AD303" s="285"/>
      <c r="AE303" s="287"/>
      <c r="AF303" s="287"/>
      <c r="AG303" s="287"/>
    </row>
    <row r="304" spans="1:33">
      <c r="A304" s="250" t="s">
        <v>571</v>
      </c>
      <c r="B304" s="251" t="s">
        <v>551</v>
      </c>
      <c r="C304" s="289"/>
      <c r="D304" s="289"/>
      <c r="E304" s="261"/>
      <c r="F304" s="254"/>
      <c r="G304" s="285"/>
      <c r="H304" s="285"/>
      <c r="I304" s="285"/>
      <c r="J304" s="285"/>
      <c r="K304" s="285"/>
      <c r="L304" s="285"/>
      <c r="M304" s="285"/>
      <c r="N304" s="285"/>
      <c r="O304" s="285"/>
      <c r="P304" s="285"/>
      <c r="Q304" s="285"/>
      <c r="R304" s="285"/>
      <c r="S304" s="285"/>
      <c r="T304" s="285"/>
      <c r="U304" s="285"/>
      <c r="V304" s="285"/>
      <c r="W304" s="285"/>
      <c r="X304" s="285"/>
      <c r="Y304" s="285"/>
      <c r="Z304" s="285"/>
      <c r="AA304" s="285"/>
      <c r="AB304" s="285"/>
      <c r="AC304" s="285"/>
      <c r="AD304" s="285"/>
      <c r="AE304" s="287"/>
      <c r="AF304" s="287"/>
      <c r="AG304" s="287"/>
    </row>
    <row r="305" spans="1:33">
      <c r="A305" s="250" t="s">
        <v>571</v>
      </c>
      <c r="B305" s="251" t="s">
        <v>552</v>
      </c>
      <c r="C305" s="289"/>
      <c r="D305" s="289"/>
      <c r="E305" s="261"/>
      <c r="F305" s="286"/>
      <c r="G305" s="254"/>
      <c r="H305" s="285"/>
      <c r="I305" s="285"/>
      <c r="J305" s="285"/>
      <c r="K305" s="285"/>
      <c r="L305" s="285"/>
      <c r="M305" s="285"/>
      <c r="N305" s="285"/>
      <c r="O305" s="285"/>
      <c r="P305" s="285"/>
      <c r="Q305" s="285"/>
      <c r="R305" s="285"/>
      <c r="S305" s="285"/>
      <c r="T305" s="285"/>
      <c r="U305" s="285"/>
      <c r="V305" s="285"/>
      <c r="W305" s="285"/>
      <c r="X305" s="285"/>
      <c r="Y305" s="285"/>
      <c r="Z305" s="285"/>
      <c r="AA305" s="285"/>
      <c r="AB305" s="285"/>
      <c r="AC305" s="285"/>
      <c r="AD305" s="285"/>
      <c r="AE305" s="287"/>
      <c r="AF305" s="287"/>
      <c r="AG305" s="287"/>
    </row>
    <row r="306" spans="1:33">
      <c r="A306" s="250" t="s">
        <v>571</v>
      </c>
      <c r="B306" s="251" t="s">
        <v>553</v>
      </c>
      <c r="C306" s="289"/>
      <c r="D306" s="289"/>
      <c r="E306" s="261"/>
      <c r="F306" s="286"/>
      <c r="G306" s="286"/>
      <c r="H306" s="254"/>
      <c r="I306" s="285"/>
      <c r="J306" s="285"/>
      <c r="K306" s="285"/>
      <c r="L306" s="285"/>
      <c r="M306" s="285"/>
      <c r="N306" s="285"/>
      <c r="O306" s="285"/>
      <c r="P306" s="285"/>
      <c r="Q306" s="285"/>
      <c r="R306" s="285"/>
      <c r="S306" s="285"/>
      <c r="T306" s="285"/>
      <c r="U306" s="285"/>
      <c r="V306" s="285"/>
      <c r="W306" s="285"/>
      <c r="X306" s="285"/>
      <c r="Y306" s="285"/>
      <c r="Z306" s="285"/>
      <c r="AA306" s="285"/>
      <c r="AB306" s="285"/>
      <c r="AC306" s="285"/>
      <c r="AD306" s="285"/>
      <c r="AE306" s="287"/>
      <c r="AF306" s="287"/>
      <c r="AG306" s="287"/>
    </row>
    <row r="307" spans="1:33">
      <c r="A307" s="250" t="s">
        <v>571</v>
      </c>
      <c r="B307" s="251" t="s">
        <v>554</v>
      </c>
      <c r="C307" s="289"/>
      <c r="D307" s="289"/>
      <c r="E307" s="261"/>
      <c r="F307" s="286"/>
      <c r="G307" s="286"/>
      <c r="H307" s="286"/>
      <c r="I307" s="254"/>
      <c r="J307" s="285"/>
      <c r="K307" s="285"/>
      <c r="L307" s="285"/>
      <c r="M307" s="285"/>
      <c r="N307" s="285"/>
      <c r="O307" s="285"/>
      <c r="P307" s="285"/>
      <c r="Q307" s="285"/>
      <c r="R307" s="285"/>
      <c r="S307" s="285"/>
      <c r="T307" s="285"/>
      <c r="U307" s="285"/>
      <c r="V307" s="285"/>
      <c r="W307" s="285"/>
      <c r="X307" s="285"/>
      <c r="Y307" s="285"/>
      <c r="Z307" s="285"/>
      <c r="AA307" s="285"/>
      <c r="AB307" s="285"/>
      <c r="AC307" s="285"/>
      <c r="AD307" s="285"/>
      <c r="AE307" s="287"/>
      <c r="AF307" s="287"/>
      <c r="AG307" s="287"/>
    </row>
    <row r="308" spans="1:33">
      <c r="A308" s="250" t="s">
        <v>571</v>
      </c>
      <c r="B308" s="251" t="s">
        <v>555</v>
      </c>
      <c r="C308" s="289"/>
      <c r="D308" s="289"/>
      <c r="E308" s="261"/>
      <c r="F308" s="286"/>
      <c r="G308" s="286"/>
      <c r="H308" s="286"/>
      <c r="I308" s="286"/>
      <c r="J308" s="254"/>
      <c r="K308" s="285"/>
      <c r="L308" s="285"/>
      <c r="M308" s="285"/>
      <c r="N308" s="285"/>
      <c r="O308" s="285"/>
      <c r="P308" s="285"/>
      <c r="Q308" s="285"/>
      <c r="R308" s="285"/>
      <c r="S308" s="285"/>
      <c r="T308" s="285"/>
      <c r="U308" s="285"/>
      <c r="V308" s="285"/>
      <c r="W308" s="285"/>
      <c r="X308" s="285"/>
      <c r="Y308" s="285"/>
      <c r="Z308" s="285"/>
      <c r="AA308" s="285"/>
      <c r="AB308" s="285"/>
      <c r="AC308" s="285"/>
      <c r="AD308" s="285"/>
      <c r="AE308" s="287"/>
      <c r="AF308" s="287"/>
      <c r="AG308" s="287"/>
    </row>
    <row r="309" spans="1:33">
      <c r="A309" s="250" t="s">
        <v>571</v>
      </c>
      <c r="B309" s="251" t="s">
        <v>556</v>
      </c>
      <c r="C309" s="289"/>
      <c r="D309" s="289"/>
      <c r="E309" s="261"/>
      <c r="F309" s="286"/>
      <c r="G309" s="286"/>
      <c r="H309" s="286"/>
      <c r="I309" s="286"/>
      <c r="J309" s="286"/>
      <c r="K309" s="254"/>
      <c r="L309" s="285"/>
      <c r="M309" s="285"/>
      <c r="N309" s="285"/>
      <c r="O309" s="285"/>
      <c r="P309" s="285"/>
      <c r="Q309" s="285"/>
      <c r="R309" s="285"/>
      <c r="S309" s="285"/>
      <c r="T309" s="285"/>
      <c r="U309" s="285"/>
      <c r="V309" s="285"/>
      <c r="W309" s="285"/>
      <c r="X309" s="285"/>
      <c r="Y309" s="285"/>
      <c r="Z309" s="285"/>
      <c r="AA309" s="285"/>
      <c r="AB309" s="285"/>
      <c r="AC309" s="285"/>
      <c r="AD309" s="285"/>
      <c r="AE309" s="287"/>
      <c r="AF309" s="287"/>
      <c r="AG309" s="287"/>
    </row>
    <row r="310" spans="1:33">
      <c r="A310" s="250" t="s">
        <v>571</v>
      </c>
      <c r="B310" s="251" t="s">
        <v>557</v>
      </c>
      <c r="C310" s="289"/>
      <c r="D310" s="289"/>
      <c r="E310" s="261"/>
      <c r="F310" s="286"/>
      <c r="G310" s="286"/>
      <c r="H310" s="286"/>
      <c r="I310" s="286"/>
      <c r="J310" s="286"/>
      <c r="K310" s="286"/>
      <c r="L310" s="254"/>
      <c r="M310" s="285"/>
      <c r="N310" s="285"/>
      <c r="O310" s="285"/>
      <c r="P310" s="285"/>
      <c r="Q310" s="285"/>
      <c r="R310" s="285"/>
      <c r="S310" s="285"/>
      <c r="T310" s="285"/>
      <c r="U310" s="285"/>
      <c r="V310" s="285"/>
      <c r="W310" s="285"/>
      <c r="X310" s="285"/>
      <c r="Y310" s="285"/>
      <c r="Z310" s="285"/>
      <c r="AA310" s="285"/>
      <c r="AB310" s="285"/>
      <c r="AC310" s="285"/>
      <c r="AD310" s="285"/>
      <c r="AE310" s="287"/>
      <c r="AF310" s="287"/>
      <c r="AG310" s="287"/>
    </row>
    <row r="311" spans="1:33">
      <c r="A311" s="250" t="s">
        <v>571</v>
      </c>
      <c r="B311" s="251" t="s">
        <v>558</v>
      </c>
      <c r="C311" s="289"/>
      <c r="D311" s="289"/>
      <c r="E311" s="261"/>
      <c r="F311" s="286"/>
      <c r="G311" s="286"/>
      <c r="H311" s="286"/>
      <c r="I311" s="286"/>
      <c r="J311" s="286"/>
      <c r="K311" s="286"/>
      <c r="L311" s="286"/>
      <c r="M311" s="254"/>
      <c r="N311" s="285"/>
      <c r="O311" s="285"/>
      <c r="P311" s="285"/>
      <c r="Q311" s="285"/>
      <c r="R311" s="285"/>
      <c r="S311" s="285"/>
      <c r="T311" s="285"/>
      <c r="U311" s="285"/>
      <c r="V311" s="285"/>
      <c r="W311" s="285"/>
      <c r="X311" s="285"/>
      <c r="Y311" s="285"/>
      <c r="Z311" s="285"/>
      <c r="AA311" s="285"/>
      <c r="AB311" s="285"/>
      <c r="AC311" s="285"/>
      <c r="AD311" s="285"/>
      <c r="AE311" s="287"/>
      <c r="AF311" s="287"/>
      <c r="AG311" s="287"/>
    </row>
    <row r="312" spans="1:33">
      <c r="A312" s="250" t="s">
        <v>571</v>
      </c>
      <c r="B312" s="251" t="s">
        <v>559</v>
      </c>
      <c r="C312" s="289"/>
      <c r="D312" s="289"/>
      <c r="E312" s="261"/>
      <c r="F312" s="286"/>
      <c r="G312" s="286"/>
      <c r="H312" s="286"/>
      <c r="I312" s="286"/>
      <c r="J312" s="286"/>
      <c r="K312" s="286"/>
      <c r="L312" s="286"/>
      <c r="M312" s="286"/>
      <c r="N312" s="254"/>
      <c r="O312" s="285"/>
      <c r="P312" s="285"/>
      <c r="Q312" s="285"/>
      <c r="R312" s="285"/>
      <c r="S312" s="285"/>
      <c r="T312" s="285"/>
      <c r="U312" s="285"/>
      <c r="V312" s="285"/>
      <c r="W312" s="285"/>
      <c r="X312" s="285"/>
      <c r="Y312" s="285"/>
      <c r="Z312" s="285"/>
      <c r="AA312" s="285"/>
      <c r="AB312" s="285"/>
      <c r="AC312" s="285"/>
      <c r="AD312" s="285"/>
      <c r="AE312" s="287"/>
      <c r="AF312" s="287"/>
      <c r="AG312" s="287"/>
    </row>
    <row r="313" spans="1:33">
      <c r="A313" s="250" t="s">
        <v>571</v>
      </c>
      <c r="B313" s="251" t="s">
        <v>560</v>
      </c>
      <c r="C313" s="289"/>
      <c r="D313" s="289"/>
      <c r="E313" s="261"/>
      <c r="F313" s="286"/>
      <c r="G313" s="286"/>
      <c r="H313" s="286"/>
      <c r="I313" s="286"/>
      <c r="J313" s="286"/>
      <c r="K313" s="286"/>
      <c r="L313" s="286"/>
      <c r="M313" s="286"/>
      <c r="N313" s="286"/>
      <c r="O313" s="254"/>
      <c r="P313" s="285"/>
      <c r="Q313" s="285"/>
      <c r="R313" s="285"/>
      <c r="S313" s="285"/>
      <c r="T313" s="285"/>
      <c r="U313" s="285"/>
      <c r="V313" s="285"/>
      <c r="W313" s="285"/>
      <c r="X313" s="285"/>
      <c r="Y313" s="285"/>
      <c r="Z313" s="285"/>
      <c r="AA313" s="285"/>
      <c r="AB313" s="285"/>
      <c r="AC313" s="285"/>
      <c r="AD313" s="285"/>
      <c r="AE313" s="287"/>
      <c r="AF313" s="287"/>
      <c r="AG313" s="287"/>
    </row>
    <row r="314" spans="1:33">
      <c r="A314" s="250" t="s">
        <v>571</v>
      </c>
      <c r="B314" s="251" t="s">
        <v>561</v>
      </c>
      <c r="C314" s="289"/>
      <c r="D314" s="289"/>
      <c r="E314" s="261"/>
      <c r="F314" s="286"/>
      <c r="G314" s="286"/>
      <c r="H314" s="286"/>
      <c r="I314" s="286"/>
      <c r="J314" s="286"/>
      <c r="K314" s="286"/>
      <c r="L314" s="286"/>
      <c r="M314" s="286"/>
      <c r="N314" s="286"/>
      <c r="O314" s="286"/>
      <c r="P314" s="254"/>
      <c r="Q314" s="285"/>
      <c r="R314" s="285"/>
      <c r="S314" s="285"/>
      <c r="T314" s="285"/>
      <c r="U314" s="285"/>
      <c r="V314" s="285"/>
      <c r="W314" s="285"/>
      <c r="X314" s="285"/>
      <c r="Y314" s="285"/>
      <c r="Z314" s="285"/>
      <c r="AA314" s="285"/>
      <c r="AB314" s="285"/>
      <c r="AC314" s="285"/>
      <c r="AD314" s="285"/>
      <c r="AE314" s="287"/>
      <c r="AF314" s="287"/>
      <c r="AG314" s="287"/>
    </row>
    <row r="315" spans="1:33">
      <c r="A315" s="250" t="s">
        <v>571</v>
      </c>
      <c r="B315" s="251" t="s">
        <v>562</v>
      </c>
      <c r="C315" s="289"/>
      <c r="D315" s="289"/>
      <c r="E315" s="261"/>
      <c r="F315" s="286"/>
      <c r="G315" s="286"/>
      <c r="H315" s="286"/>
      <c r="I315" s="286"/>
      <c r="J315" s="286"/>
      <c r="K315" s="286"/>
      <c r="L315" s="286"/>
      <c r="M315" s="286"/>
      <c r="N315" s="286"/>
      <c r="O315" s="286"/>
      <c r="P315" s="286"/>
      <c r="Q315" s="254"/>
      <c r="R315" s="285"/>
      <c r="S315" s="285"/>
      <c r="T315" s="285"/>
      <c r="U315" s="285"/>
      <c r="V315" s="285"/>
      <c r="W315" s="285"/>
      <c r="X315" s="285"/>
      <c r="Y315" s="285"/>
      <c r="Z315" s="285"/>
      <c r="AA315" s="285"/>
      <c r="AB315" s="285"/>
      <c r="AC315" s="285"/>
      <c r="AD315" s="285"/>
      <c r="AE315" s="287"/>
      <c r="AF315" s="287"/>
      <c r="AG315" s="287"/>
    </row>
    <row r="316" spans="1:33">
      <c r="A316" s="250" t="s">
        <v>571</v>
      </c>
      <c r="B316" s="251" t="s">
        <v>563</v>
      </c>
      <c r="C316" s="289"/>
      <c r="D316" s="289"/>
      <c r="E316" s="261"/>
      <c r="F316" s="286"/>
      <c r="G316" s="286"/>
      <c r="H316" s="286"/>
      <c r="I316" s="286"/>
      <c r="J316" s="286"/>
      <c r="K316" s="286"/>
      <c r="L316" s="286"/>
      <c r="M316" s="286"/>
      <c r="N316" s="286"/>
      <c r="O316" s="286"/>
      <c r="P316" s="286"/>
      <c r="Q316" s="286"/>
      <c r="R316" s="254"/>
      <c r="S316" s="285"/>
      <c r="T316" s="285"/>
      <c r="U316" s="285"/>
      <c r="V316" s="285"/>
      <c r="W316" s="285"/>
      <c r="X316" s="285"/>
      <c r="Y316" s="285"/>
      <c r="Z316" s="285"/>
      <c r="AA316" s="285"/>
      <c r="AB316" s="285"/>
      <c r="AC316" s="285"/>
      <c r="AD316" s="285"/>
      <c r="AE316" s="287"/>
      <c r="AF316" s="287"/>
      <c r="AG316" s="287"/>
    </row>
    <row r="317" spans="1:33">
      <c r="A317" s="250" t="s">
        <v>571</v>
      </c>
      <c r="B317" s="251" t="s">
        <v>564</v>
      </c>
      <c r="C317" s="289"/>
      <c r="D317" s="289"/>
      <c r="E317" s="261"/>
      <c r="F317" s="286"/>
      <c r="G317" s="286"/>
      <c r="H317" s="286"/>
      <c r="I317" s="286"/>
      <c r="J317" s="286"/>
      <c r="K317" s="286"/>
      <c r="L317" s="286"/>
      <c r="M317" s="286"/>
      <c r="N317" s="286"/>
      <c r="O317" s="286"/>
      <c r="P317" s="286"/>
      <c r="Q317" s="286"/>
      <c r="R317" s="286"/>
      <c r="S317" s="254"/>
      <c r="T317" s="285"/>
      <c r="U317" s="285"/>
      <c r="V317" s="285"/>
      <c r="W317" s="285"/>
      <c r="X317" s="285"/>
      <c r="Y317" s="285"/>
      <c r="Z317" s="285"/>
      <c r="AA317" s="285"/>
      <c r="AB317" s="285"/>
      <c r="AC317" s="285"/>
      <c r="AD317" s="285"/>
      <c r="AE317" s="287"/>
      <c r="AF317" s="287"/>
      <c r="AG317" s="287"/>
    </row>
    <row r="318" spans="1:33">
      <c r="A318" s="250" t="s">
        <v>571</v>
      </c>
      <c r="B318" s="251" t="s">
        <v>565</v>
      </c>
      <c r="C318" s="289"/>
      <c r="D318" s="289"/>
      <c r="E318" s="261"/>
      <c r="F318" s="286"/>
      <c r="G318" s="286"/>
      <c r="H318" s="286"/>
      <c r="I318" s="286"/>
      <c r="J318" s="286"/>
      <c r="K318" s="286"/>
      <c r="L318" s="286"/>
      <c r="M318" s="286"/>
      <c r="N318" s="286"/>
      <c r="O318" s="286"/>
      <c r="P318" s="286"/>
      <c r="Q318" s="286"/>
      <c r="R318" s="286"/>
      <c r="S318" s="286"/>
      <c r="T318" s="254"/>
      <c r="U318" s="285"/>
      <c r="V318" s="285"/>
      <c r="W318" s="285"/>
      <c r="X318" s="285"/>
      <c r="Y318" s="285"/>
      <c r="Z318" s="285"/>
      <c r="AA318" s="285"/>
      <c r="AB318" s="285"/>
      <c r="AC318" s="285"/>
      <c r="AD318" s="285"/>
      <c r="AE318" s="287"/>
      <c r="AF318" s="287"/>
      <c r="AG318" s="287"/>
    </row>
    <row r="319" spans="1:33">
      <c r="A319" s="250" t="s">
        <v>571</v>
      </c>
      <c r="B319" s="251" t="s">
        <v>566</v>
      </c>
      <c r="C319" s="289"/>
      <c r="D319" s="289"/>
      <c r="E319" s="261"/>
      <c r="F319" s="286"/>
      <c r="G319" s="286"/>
      <c r="H319" s="286"/>
      <c r="I319" s="286"/>
      <c r="J319" s="286"/>
      <c r="K319" s="286"/>
      <c r="L319" s="286"/>
      <c r="M319" s="286"/>
      <c r="N319" s="286"/>
      <c r="O319" s="286"/>
      <c r="P319" s="286"/>
      <c r="Q319" s="286"/>
      <c r="R319" s="286"/>
      <c r="S319" s="286"/>
      <c r="T319" s="286"/>
      <c r="U319" s="254"/>
      <c r="V319" s="285"/>
      <c r="W319" s="285"/>
      <c r="X319" s="285"/>
      <c r="Y319" s="285"/>
      <c r="Z319" s="285"/>
      <c r="AA319" s="285"/>
      <c r="AB319" s="285"/>
      <c r="AC319" s="285"/>
      <c r="AD319" s="285"/>
      <c r="AE319" s="287"/>
      <c r="AF319" s="287"/>
      <c r="AG319" s="287"/>
    </row>
    <row r="320" spans="1:33">
      <c r="A320" s="250" t="s">
        <v>571</v>
      </c>
      <c r="B320" s="251" t="s">
        <v>567</v>
      </c>
      <c r="C320" s="289"/>
      <c r="D320" s="289"/>
      <c r="E320" s="261"/>
      <c r="F320" s="286"/>
      <c r="G320" s="286"/>
      <c r="H320" s="286"/>
      <c r="I320" s="286"/>
      <c r="J320" s="286"/>
      <c r="K320" s="286"/>
      <c r="L320" s="286"/>
      <c r="M320" s="286"/>
      <c r="N320" s="286"/>
      <c r="O320" s="286"/>
      <c r="P320" s="286"/>
      <c r="Q320" s="286"/>
      <c r="R320" s="286"/>
      <c r="S320" s="286"/>
      <c r="T320" s="286"/>
      <c r="U320" s="286"/>
      <c r="V320" s="254"/>
      <c r="W320" s="285"/>
      <c r="X320" s="285"/>
      <c r="Y320" s="285"/>
      <c r="Z320" s="285"/>
      <c r="AA320" s="285"/>
      <c r="AB320" s="285"/>
      <c r="AC320" s="285"/>
      <c r="AD320" s="285"/>
      <c r="AE320" s="287"/>
      <c r="AF320" s="287"/>
      <c r="AG320" s="287"/>
    </row>
    <row r="321" spans="1:33">
      <c r="A321" s="250" t="s">
        <v>571</v>
      </c>
      <c r="B321" s="251" t="s">
        <v>568</v>
      </c>
      <c r="C321" s="289"/>
      <c r="D321" s="289"/>
      <c r="E321" s="261"/>
      <c r="F321" s="286"/>
      <c r="G321" s="286"/>
      <c r="H321" s="286"/>
      <c r="I321" s="286"/>
      <c r="J321" s="286"/>
      <c r="K321" s="286"/>
      <c r="L321" s="286"/>
      <c r="M321" s="286"/>
      <c r="N321" s="286"/>
      <c r="O321" s="286"/>
      <c r="P321" s="286"/>
      <c r="Q321" s="286"/>
      <c r="R321" s="286"/>
      <c r="S321" s="286"/>
      <c r="T321" s="286"/>
      <c r="U321" s="286"/>
      <c r="V321" s="286"/>
      <c r="W321" s="254"/>
      <c r="X321" s="285"/>
      <c r="Y321" s="285"/>
      <c r="Z321" s="285"/>
      <c r="AA321" s="285"/>
      <c r="AB321" s="285"/>
      <c r="AC321" s="285"/>
      <c r="AD321" s="285"/>
      <c r="AE321" s="287"/>
      <c r="AF321" s="287"/>
      <c r="AG321" s="287"/>
    </row>
    <row r="322" spans="1:33">
      <c r="A322" s="250" t="s">
        <v>571</v>
      </c>
      <c r="B322" s="251" t="s">
        <v>569</v>
      </c>
      <c r="C322" s="289"/>
      <c r="D322" s="289"/>
      <c r="E322" s="261"/>
      <c r="F322" s="286"/>
      <c r="G322" s="286"/>
      <c r="H322" s="286"/>
      <c r="I322" s="286"/>
      <c r="J322" s="286"/>
      <c r="K322" s="286"/>
      <c r="L322" s="286"/>
      <c r="M322" s="286"/>
      <c r="N322" s="286"/>
      <c r="O322" s="286"/>
      <c r="P322" s="286"/>
      <c r="Q322" s="286"/>
      <c r="R322" s="286"/>
      <c r="S322" s="286"/>
      <c r="T322" s="286"/>
      <c r="U322" s="286"/>
      <c r="V322" s="286"/>
      <c r="W322" s="286"/>
      <c r="X322" s="254"/>
      <c r="Y322" s="285"/>
      <c r="Z322" s="285"/>
      <c r="AA322" s="285"/>
      <c r="AB322" s="285"/>
      <c r="AC322" s="285"/>
      <c r="AD322" s="285"/>
      <c r="AE322" s="287"/>
      <c r="AF322" s="287"/>
      <c r="AG322" s="287"/>
    </row>
    <row r="323" spans="1:33">
      <c r="A323" s="250" t="s">
        <v>571</v>
      </c>
      <c r="B323" s="251" t="s">
        <v>572</v>
      </c>
      <c r="C323" s="289"/>
      <c r="D323" s="289"/>
      <c r="E323" s="261"/>
      <c r="F323" s="286"/>
      <c r="G323" s="286"/>
      <c r="H323" s="286"/>
      <c r="I323" s="286"/>
      <c r="J323" s="286"/>
      <c r="K323" s="286"/>
      <c r="L323" s="286"/>
      <c r="M323" s="286"/>
      <c r="N323" s="286"/>
      <c r="O323" s="286"/>
      <c r="P323" s="286"/>
      <c r="Q323" s="286"/>
      <c r="R323" s="286"/>
      <c r="S323" s="286"/>
      <c r="T323" s="286"/>
      <c r="U323" s="286"/>
      <c r="V323" s="286"/>
      <c r="W323" s="286"/>
      <c r="X323" s="286"/>
      <c r="Y323" s="254"/>
      <c r="Z323" s="285"/>
      <c r="AA323" s="285"/>
      <c r="AB323" s="285"/>
      <c r="AC323" s="285"/>
      <c r="AD323" s="285"/>
      <c r="AE323" s="287"/>
      <c r="AF323" s="287"/>
      <c r="AG323" s="287"/>
    </row>
    <row r="324" spans="1:33">
      <c r="A324" s="250" t="s">
        <v>571</v>
      </c>
      <c r="B324" t="s">
        <v>573</v>
      </c>
      <c r="C324" s="289"/>
      <c r="D324" s="289"/>
      <c r="E324" s="261"/>
      <c r="F324" s="286"/>
      <c r="G324" s="286"/>
      <c r="H324" s="286"/>
      <c r="I324" s="286"/>
      <c r="J324" s="286"/>
      <c r="K324" s="286"/>
      <c r="L324" s="286"/>
      <c r="M324" s="286"/>
      <c r="N324" s="286"/>
      <c r="O324" s="286"/>
      <c r="P324" s="286"/>
      <c r="Q324" s="286"/>
      <c r="R324" s="286"/>
      <c r="S324" s="286"/>
      <c r="T324" s="286"/>
      <c r="U324" s="286"/>
      <c r="V324" s="286"/>
      <c r="W324" s="286"/>
      <c r="X324" s="286"/>
      <c r="Y324" s="286"/>
      <c r="Z324" s="254"/>
      <c r="AA324" s="285"/>
      <c r="AB324" s="285"/>
      <c r="AC324" s="285"/>
      <c r="AD324" s="285"/>
      <c r="AE324" s="287"/>
      <c r="AF324" s="287"/>
      <c r="AG324" s="287"/>
    </row>
    <row r="325" spans="1:33">
      <c r="A325" s="250" t="s">
        <v>571</v>
      </c>
      <c r="B325" t="s">
        <v>574</v>
      </c>
      <c r="C325" s="289"/>
      <c r="D325" s="289"/>
      <c r="E325" s="261"/>
      <c r="F325" s="286"/>
      <c r="G325" s="286"/>
      <c r="H325" s="286"/>
      <c r="I325" s="286"/>
      <c r="J325" s="286"/>
      <c r="K325" s="286"/>
      <c r="L325" s="286"/>
      <c r="M325" s="286"/>
      <c r="N325" s="286"/>
      <c r="O325" s="286"/>
      <c r="P325" s="286"/>
      <c r="Q325" s="286"/>
      <c r="R325" s="286"/>
      <c r="S325" s="286"/>
      <c r="T325" s="286"/>
      <c r="U325" s="286"/>
      <c r="V325" s="286"/>
      <c r="W325" s="286"/>
      <c r="X325" s="286"/>
      <c r="Y325" s="286"/>
      <c r="Z325" s="286"/>
      <c r="AA325" s="254"/>
      <c r="AB325" s="285"/>
      <c r="AC325" s="285"/>
      <c r="AD325" s="285"/>
      <c r="AE325" s="287"/>
      <c r="AF325" s="287"/>
      <c r="AG325" s="287"/>
    </row>
    <row r="326" spans="1:33">
      <c r="A326" s="250" t="s">
        <v>571</v>
      </c>
      <c r="B326" t="s">
        <v>575</v>
      </c>
      <c r="C326" s="289"/>
      <c r="D326" s="289"/>
      <c r="E326" s="261"/>
      <c r="F326" s="286"/>
      <c r="G326" s="286"/>
      <c r="H326" s="286"/>
      <c r="I326" s="286"/>
      <c r="J326" s="286"/>
      <c r="K326" s="286"/>
      <c r="L326" s="286"/>
      <c r="M326" s="286"/>
      <c r="N326" s="286"/>
      <c r="O326" s="286"/>
      <c r="P326" s="286"/>
      <c r="Q326" s="286"/>
      <c r="R326" s="286"/>
      <c r="S326" s="286"/>
      <c r="T326" s="286"/>
      <c r="U326" s="286"/>
      <c r="V326" s="286"/>
      <c r="W326" s="286"/>
      <c r="X326" s="286"/>
      <c r="Y326" s="286"/>
      <c r="Z326" s="286"/>
      <c r="AA326" s="286"/>
      <c r="AB326" s="254"/>
      <c r="AC326" s="285"/>
      <c r="AD326" s="285"/>
      <c r="AE326" s="287"/>
      <c r="AF326" s="287"/>
      <c r="AG326" s="287"/>
    </row>
    <row r="327" spans="1:33">
      <c r="A327" s="250" t="s">
        <v>571</v>
      </c>
      <c r="B327" t="s">
        <v>576</v>
      </c>
      <c r="C327" s="289"/>
      <c r="D327" s="289"/>
      <c r="E327" s="261"/>
      <c r="F327" s="286"/>
      <c r="G327" s="286"/>
      <c r="H327" s="286"/>
      <c r="I327" s="286"/>
      <c r="J327" s="286"/>
      <c r="K327" s="286"/>
      <c r="L327" s="286"/>
      <c r="M327" s="286"/>
      <c r="N327" s="286"/>
      <c r="O327" s="286"/>
      <c r="P327" s="286"/>
      <c r="Q327" s="286"/>
      <c r="R327" s="286"/>
      <c r="S327" s="286"/>
      <c r="T327" s="286"/>
      <c r="U327" s="286"/>
      <c r="V327" s="286"/>
      <c r="W327" s="286"/>
      <c r="X327" s="286"/>
      <c r="Y327" s="286"/>
      <c r="Z327" s="286"/>
      <c r="AA327" s="286"/>
      <c r="AB327" s="286"/>
      <c r="AC327" s="254"/>
      <c r="AD327" s="285"/>
      <c r="AE327" s="287"/>
      <c r="AF327" s="287"/>
      <c r="AG327" s="287"/>
    </row>
    <row r="328" spans="1:33">
      <c r="A328" s="250" t="s">
        <v>571</v>
      </c>
      <c r="B328" t="s">
        <v>577</v>
      </c>
      <c r="C328" s="289"/>
      <c r="D328" s="289"/>
      <c r="E328" s="261"/>
      <c r="F328" s="286"/>
      <c r="G328" s="286"/>
      <c r="H328" s="286"/>
      <c r="I328" s="286"/>
      <c r="J328" s="286"/>
      <c r="K328" s="286"/>
      <c r="L328" s="286"/>
      <c r="M328" s="286"/>
      <c r="N328" s="286"/>
      <c r="O328" s="286"/>
      <c r="P328" s="286"/>
      <c r="Q328" s="286"/>
      <c r="R328" s="286"/>
      <c r="S328" s="286"/>
      <c r="T328" s="286"/>
      <c r="U328" s="286"/>
      <c r="V328" s="286"/>
      <c r="W328" s="286"/>
      <c r="X328" s="286"/>
      <c r="Y328" s="286"/>
      <c r="Z328" s="286"/>
      <c r="AA328" s="286"/>
      <c r="AB328" s="286"/>
      <c r="AC328" s="286"/>
      <c r="AD328" s="254"/>
      <c r="AE328" s="287"/>
      <c r="AF328" s="287"/>
      <c r="AG328" s="287"/>
    </row>
    <row r="329" spans="1:33">
      <c r="A329" s="255"/>
      <c r="B329" s="256" t="s">
        <v>235</v>
      </c>
      <c r="C329" s="257"/>
      <c r="D329" s="257"/>
      <c r="E329" s="257"/>
      <c r="F329" s="257"/>
      <c r="G329" s="257"/>
      <c r="H329" s="257"/>
      <c r="I329" s="257"/>
      <c r="J329" s="257"/>
      <c r="K329" s="257"/>
      <c r="L329" s="257"/>
      <c r="M329" s="257"/>
      <c r="N329" s="257"/>
      <c r="O329" s="257"/>
      <c r="P329" s="257"/>
      <c r="Q329" s="257"/>
      <c r="R329" s="257"/>
      <c r="S329" s="257"/>
      <c r="T329" s="257"/>
      <c r="U329" s="257"/>
      <c r="V329" s="257"/>
      <c r="W329" s="257"/>
      <c r="X329" s="257"/>
      <c r="Y329" s="257"/>
      <c r="Z329" s="257"/>
      <c r="AA329" s="257"/>
      <c r="AB329" s="257"/>
      <c r="AC329" s="257"/>
      <c r="AD329" s="257"/>
      <c r="AE329" s="257"/>
      <c r="AF329" s="257"/>
      <c r="AG329" s="257"/>
    </row>
  </sheetData>
  <mergeCells count="44">
    <mergeCell ref="E37:E38"/>
    <mergeCell ref="D37:D38"/>
    <mergeCell ref="C37:C38"/>
    <mergeCell ref="F37:AD37"/>
    <mergeCell ref="A2:Y2"/>
    <mergeCell ref="A3:Y3"/>
    <mergeCell ref="A4:Y4"/>
    <mergeCell ref="B6:B7"/>
    <mergeCell ref="C6:C7"/>
    <mergeCell ref="D6:D7"/>
    <mergeCell ref="E6:E7"/>
    <mergeCell ref="F6:AD6"/>
    <mergeCell ref="F202:AD202"/>
    <mergeCell ref="C301:C302"/>
    <mergeCell ref="D301:D302"/>
    <mergeCell ref="E301:E302"/>
    <mergeCell ref="C235:C236"/>
    <mergeCell ref="D235:D236"/>
    <mergeCell ref="E235:E236"/>
    <mergeCell ref="C268:C269"/>
    <mergeCell ref="D268:D269"/>
    <mergeCell ref="E268:E269"/>
    <mergeCell ref="F235:AD235"/>
    <mergeCell ref="F268:AD268"/>
    <mergeCell ref="F301:AD301"/>
    <mergeCell ref="C202:C203"/>
    <mergeCell ref="D202:D203"/>
    <mergeCell ref="E202:E203"/>
    <mergeCell ref="F169:AD169"/>
    <mergeCell ref="C169:C170"/>
    <mergeCell ref="D169:D170"/>
    <mergeCell ref="E169:E170"/>
    <mergeCell ref="C136:C137"/>
    <mergeCell ref="D136:D137"/>
    <mergeCell ref="E136:E137"/>
    <mergeCell ref="F103:AD103"/>
    <mergeCell ref="F136:AD136"/>
    <mergeCell ref="F70:AD70"/>
    <mergeCell ref="C103:C104"/>
    <mergeCell ref="D103:D104"/>
    <mergeCell ref="E103:E104"/>
    <mergeCell ref="C70:C71"/>
    <mergeCell ref="D70:D71"/>
    <mergeCell ref="E70:E71"/>
  </mergeCells>
  <pageMargins left="0.70866141732283472" right="0.70866141732283472" top="0.74803149606299213" bottom="0.74803149606299213" header="0.31496062992125984" footer="0.31496062992125984"/>
  <pageSetup paperSize="9" scale="45" fitToHeight="0" pageOrder="overThenDown" orientation="landscape" r:id="rId1"/>
  <rowBreaks count="4" manualBreakCount="4">
    <brk id="68" max="32" man="1"/>
    <brk id="134" max="32" man="1"/>
    <brk id="200" max="32" man="1"/>
    <brk id="266" max="32" man="1"/>
  </rowBreaks>
  <colBreaks count="3" manualBreakCount="3">
    <brk id="8" max="329" man="1"/>
    <brk id="15" max="329" man="1"/>
    <brk id="23" max="329" man="1"/>
  </colBreaks>
</worksheet>
</file>

<file path=xl/worksheets/sheet3.xml><?xml version="1.0" encoding="utf-8"?>
<worksheet xmlns="http://schemas.openxmlformats.org/spreadsheetml/2006/main" xmlns:r="http://schemas.openxmlformats.org/officeDocument/2006/relationships">
  <sheetPr>
    <pageSetUpPr fitToPage="1"/>
  </sheetPr>
  <dimension ref="B1:U27"/>
  <sheetViews>
    <sheetView showGridLines="0" view="pageBreakPreview" topLeftCell="J1" zoomScale="70" zoomScaleSheetLayoutView="70" workbookViewId="0">
      <selection activeCell="M15" sqref="M15"/>
    </sheetView>
  </sheetViews>
  <sheetFormatPr defaultColWidth="9.28515625" defaultRowHeight="15"/>
  <cols>
    <col min="1" max="1" width="4.28515625" style="19" customWidth="1"/>
    <col min="2" max="2" width="6.28515625" style="19" customWidth="1"/>
    <col min="3" max="3" width="46.42578125" style="19" customWidth="1"/>
    <col min="4" max="7" width="17.42578125" style="19" customWidth="1"/>
    <col min="8" max="11" width="15.7109375" style="19" customWidth="1"/>
    <col min="12" max="14" width="18.7109375" style="19" customWidth="1"/>
    <col min="15" max="15" width="20.42578125" style="19" customWidth="1"/>
    <col min="16" max="16" width="18.7109375" style="19" customWidth="1"/>
    <col min="17" max="21" width="16.28515625" style="19" customWidth="1"/>
    <col min="22" max="16384" width="9.28515625" style="19"/>
  </cols>
  <sheetData>
    <row r="1" spans="2:21">
      <c r="B1" s="39"/>
    </row>
    <row r="2" spans="2:21">
      <c r="B2" s="71"/>
      <c r="C2" s="153"/>
      <c r="D2" s="153"/>
      <c r="E2" s="153"/>
      <c r="F2" s="153"/>
      <c r="G2" s="153"/>
      <c r="H2" s="153"/>
      <c r="I2" s="153"/>
      <c r="J2" s="153"/>
      <c r="K2" s="81" t="s">
        <v>0</v>
      </c>
      <c r="L2" s="153"/>
      <c r="M2" s="153"/>
      <c r="N2" s="153"/>
      <c r="O2" s="153"/>
      <c r="P2" s="153"/>
    </row>
    <row r="3" spans="2:21">
      <c r="B3" s="71"/>
      <c r="C3" s="71"/>
      <c r="D3" s="71"/>
      <c r="E3" s="71"/>
      <c r="F3" s="71"/>
      <c r="G3" s="71"/>
      <c r="H3" s="71"/>
      <c r="I3" s="71"/>
      <c r="J3" s="71"/>
      <c r="K3" s="88" t="s">
        <v>1</v>
      </c>
      <c r="L3" s="71"/>
      <c r="M3" s="71"/>
      <c r="N3" s="71"/>
      <c r="O3" s="71"/>
      <c r="P3" s="71"/>
    </row>
    <row r="4" spans="2:21">
      <c r="B4" s="71"/>
      <c r="C4" s="153"/>
      <c r="D4" s="153"/>
      <c r="E4" s="153"/>
      <c r="F4" s="153"/>
      <c r="G4" s="153"/>
      <c r="H4" s="153"/>
      <c r="I4" s="153"/>
      <c r="J4" s="153"/>
      <c r="K4" s="81" t="s">
        <v>97</v>
      </c>
      <c r="L4" s="153"/>
      <c r="M4" s="153"/>
      <c r="N4" s="153"/>
      <c r="O4" s="153"/>
      <c r="P4" s="153"/>
    </row>
    <row r="5" spans="2:21">
      <c r="C5" s="40"/>
      <c r="D5" s="40"/>
      <c r="E5" s="40"/>
      <c r="F5" s="40"/>
      <c r="G5" s="40"/>
      <c r="H5" s="40"/>
      <c r="I5" s="40"/>
      <c r="J5" s="40"/>
      <c r="K5" s="40"/>
      <c r="L5" s="40"/>
      <c r="M5" s="40"/>
      <c r="N5" s="40"/>
    </row>
    <row r="6" spans="2:21">
      <c r="U6" s="22" t="s">
        <v>1198</v>
      </c>
    </row>
    <row r="7" spans="2:21" s="17" customFormat="1">
      <c r="B7" s="956" t="s">
        <v>2</v>
      </c>
      <c r="C7" s="961" t="s">
        <v>57</v>
      </c>
      <c r="D7" s="961" t="s">
        <v>4</v>
      </c>
      <c r="E7" s="963" t="s">
        <v>58</v>
      </c>
      <c r="F7" s="964"/>
      <c r="G7" s="965"/>
      <c r="H7" s="963" t="s">
        <v>59</v>
      </c>
      <c r="I7" s="964"/>
      <c r="J7" s="965"/>
      <c r="K7" s="963" t="s">
        <v>60</v>
      </c>
      <c r="L7" s="964"/>
      <c r="M7" s="964"/>
      <c r="N7" s="964"/>
      <c r="O7" s="965"/>
      <c r="P7" s="954" t="s">
        <v>61</v>
      </c>
      <c r="Q7" s="954"/>
      <c r="R7" s="954"/>
      <c r="S7" s="954"/>
      <c r="T7" s="954"/>
      <c r="U7" s="954" t="s">
        <v>62</v>
      </c>
    </row>
    <row r="8" spans="2:21" s="17" customFormat="1" ht="28.5">
      <c r="B8" s="957"/>
      <c r="C8" s="961"/>
      <c r="D8" s="961"/>
      <c r="E8" s="198" t="s">
        <v>63</v>
      </c>
      <c r="F8" s="198" t="s">
        <v>64</v>
      </c>
      <c r="G8" s="198" t="s">
        <v>65</v>
      </c>
      <c r="H8" s="198" t="s">
        <v>63</v>
      </c>
      <c r="I8" s="198" t="s">
        <v>64</v>
      </c>
      <c r="J8" s="198" t="s">
        <v>65</v>
      </c>
      <c r="K8" s="198" t="s">
        <v>63</v>
      </c>
      <c r="L8" s="198" t="s">
        <v>66</v>
      </c>
      <c r="M8" s="198" t="s">
        <v>67</v>
      </c>
      <c r="N8" s="198" t="s">
        <v>68</v>
      </c>
      <c r="O8" s="198" t="s">
        <v>69</v>
      </c>
      <c r="P8" s="198" t="s">
        <v>70</v>
      </c>
      <c r="Q8" s="198" t="s">
        <v>71</v>
      </c>
      <c r="R8" s="198" t="s">
        <v>72</v>
      </c>
      <c r="S8" s="198" t="s">
        <v>73</v>
      </c>
      <c r="T8" s="198" t="s">
        <v>74</v>
      </c>
      <c r="U8" s="954"/>
    </row>
    <row r="9" spans="2:21" s="17" customFormat="1">
      <c r="B9" s="958"/>
      <c r="C9" s="962"/>
      <c r="D9" s="962"/>
      <c r="E9" s="198" t="s">
        <v>75</v>
      </c>
      <c r="F9" s="198" t="s">
        <v>76</v>
      </c>
      <c r="G9" s="198" t="s">
        <v>77</v>
      </c>
      <c r="H9" s="198" t="s">
        <v>78</v>
      </c>
      <c r="I9" s="198" t="s">
        <v>79</v>
      </c>
      <c r="J9" s="198" t="s">
        <v>80</v>
      </c>
      <c r="K9" s="198" t="s">
        <v>81</v>
      </c>
      <c r="L9" s="198" t="s">
        <v>82</v>
      </c>
      <c r="M9" s="198" t="s">
        <v>83</v>
      </c>
      <c r="N9" s="198" t="s">
        <v>84</v>
      </c>
      <c r="O9" s="198" t="s">
        <v>85</v>
      </c>
      <c r="P9" s="198" t="s">
        <v>86</v>
      </c>
      <c r="Q9" s="198" t="s">
        <v>86</v>
      </c>
      <c r="R9" s="198" t="s">
        <v>86</v>
      </c>
      <c r="S9" s="198" t="s">
        <v>86</v>
      </c>
      <c r="T9" s="198" t="s">
        <v>86</v>
      </c>
      <c r="U9" s="955"/>
    </row>
    <row r="10" spans="2:21" s="45" customFormat="1">
      <c r="B10" s="68">
        <v>1</v>
      </c>
      <c r="C10" s="103" t="s">
        <v>98</v>
      </c>
      <c r="D10" s="69" t="s">
        <v>10</v>
      </c>
      <c r="E10" s="69"/>
      <c r="F10" s="69"/>
      <c r="G10" s="69"/>
      <c r="H10" s="69"/>
      <c r="I10" s="103"/>
      <c r="J10" s="103"/>
      <c r="K10" s="103"/>
      <c r="L10" s="156"/>
      <c r="M10" s="156"/>
      <c r="N10" s="156"/>
      <c r="O10" s="156"/>
      <c r="P10" s="156"/>
      <c r="Q10" s="156"/>
      <c r="R10" s="156"/>
      <c r="S10" s="156"/>
      <c r="T10" s="156"/>
      <c r="U10" s="156"/>
    </row>
    <row r="11" spans="2:21" s="45" customFormat="1">
      <c r="B11" s="68">
        <f>B10+1</f>
        <v>2</v>
      </c>
      <c r="C11" s="70" t="s">
        <v>11</v>
      </c>
      <c r="D11" s="69" t="s">
        <v>12</v>
      </c>
      <c r="E11" s="973"/>
      <c r="F11" s="440">
        <f>F2.2!D36</f>
        <v>2308.4729500000003</v>
      </c>
      <c r="G11" s="973"/>
      <c r="H11" s="973"/>
      <c r="I11" s="450">
        <f>F2.2!E36</f>
        <v>2422.0538099999994</v>
      </c>
      <c r="J11" s="973"/>
      <c r="K11" s="973"/>
      <c r="L11" s="450">
        <f>F2.2!F36</f>
        <v>1310.6059199999995</v>
      </c>
      <c r="M11" s="70"/>
      <c r="N11" s="70"/>
      <c r="O11" s="973"/>
      <c r="P11" s="973"/>
      <c r="Q11" s="973"/>
      <c r="R11" s="973"/>
      <c r="S11" s="973"/>
      <c r="T11" s="973"/>
      <c r="U11" s="70"/>
    </row>
    <row r="12" spans="2:21" s="45" customFormat="1">
      <c r="B12" s="68">
        <f t="shared" ref="B12:B14" si="0">B11+1</f>
        <v>3</v>
      </c>
      <c r="C12" s="70" t="s">
        <v>99</v>
      </c>
      <c r="D12" s="69" t="s">
        <v>16</v>
      </c>
      <c r="E12" s="974"/>
      <c r="F12" s="440">
        <f>F2.4!D20</f>
        <v>249.16906700000004</v>
      </c>
      <c r="G12" s="974"/>
      <c r="H12" s="974"/>
      <c r="I12" s="450">
        <f>F2.4!E20</f>
        <v>309.42139930000002</v>
      </c>
      <c r="J12" s="974"/>
      <c r="K12" s="974"/>
      <c r="L12" s="450">
        <f>F2.4!F20</f>
        <v>245.94359310000002</v>
      </c>
      <c r="M12" s="70"/>
      <c r="N12" s="70"/>
      <c r="O12" s="974"/>
      <c r="P12" s="974"/>
      <c r="Q12" s="974"/>
      <c r="R12" s="974"/>
      <c r="S12" s="974"/>
      <c r="T12" s="974"/>
      <c r="U12" s="70"/>
    </row>
    <row r="13" spans="2:21" s="45" customFormat="1">
      <c r="B13" s="68">
        <f t="shared" si="0"/>
        <v>4</v>
      </c>
      <c r="C13" s="70" t="s">
        <v>100</v>
      </c>
      <c r="D13" s="69" t="s">
        <v>14</v>
      </c>
      <c r="E13" s="975"/>
      <c r="F13" s="440">
        <f>F2.3!D39</f>
        <v>1123.3482279999998</v>
      </c>
      <c r="G13" s="975"/>
      <c r="H13" s="975"/>
      <c r="I13" s="450">
        <f>F2.3!E39</f>
        <v>1106.1293982</v>
      </c>
      <c r="J13" s="975"/>
      <c r="K13" s="975"/>
      <c r="L13" s="450">
        <f>F2.3!F39</f>
        <v>489.29505129999995</v>
      </c>
      <c r="M13" s="70"/>
      <c r="N13" s="70"/>
      <c r="O13" s="975"/>
      <c r="P13" s="975"/>
      <c r="Q13" s="975"/>
      <c r="R13" s="975"/>
      <c r="S13" s="975"/>
      <c r="T13" s="975"/>
      <c r="U13" s="70"/>
    </row>
    <row r="14" spans="2:21" s="71" customFormat="1" ht="30.6" customHeight="1">
      <c r="B14" s="68">
        <f t="shared" si="0"/>
        <v>5</v>
      </c>
      <c r="C14" s="72" t="s">
        <v>101</v>
      </c>
      <c r="D14" s="73"/>
      <c r="E14" s="439">
        <f>'F1 '!E10</f>
        <v>3224.97</v>
      </c>
      <c r="F14" s="439">
        <f>SUM(F11:F13)</f>
        <v>3680.990245</v>
      </c>
      <c r="G14" s="73"/>
      <c r="H14" s="439">
        <f>'F1 '!H10</f>
        <v>3511.09</v>
      </c>
      <c r="I14" s="439">
        <f>SUM(I11:I13)</f>
        <v>3837.6046074999995</v>
      </c>
      <c r="J14" s="74"/>
      <c r="K14" s="464">
        <f>'F1 '!K10</f>
        <v>3591.59</v>
      </c>
      <c r="L14" s="439">
        <f>SUM(L11:L13)</f>
        <v>2045.8445643999994</v>
      </c>
      <c r="M14" s="464">
        <f>N14-L14</f>
        <v>2160.4079531460156</v>
      </c>
      <c r="N14" s="464">
        <f>'F14'!Q30+F2.1!J29+F2.1!J30</f>
        <v>4206.252517546015</v>
      </c>
      <c r="O14" s="74"/>
      <c r="P14" s="464">
        <f>F2.1!L16</f>
        <v>4248.4174582755277</v>
      </c>
      <c r="Q14" s="464">
        <f>F2.1!N16</f>
        <v>4120.4737674306389</v>
      </c>
      <c r="R14" s="464">
        <f>F2.1!P16</f>
        <v>4310.5200464287373</v>
      </c>
      <c r="S14" s="464">
        <f>F2.1!R16</f>
        <v>4509.3317223689319</v>
      </c>
      <c r="T14" s="464">
        <f>F2.1!T16</f>
        <v>4717.3130766923414</v>
      </c>
      <c r="U14" s="74"/>
    </row>
    <row r="15" spans="2:21" ht="15.75" customHeight="1"/>
    <row r="17" spans="2:9">
      <c r="B17" s="966" t="s">
        <v>102</v>
      </c>
      <c r="C17" s="966"/>
      <c r="D17" s="966"/>
      <c r="E17" s="966"/>
      <c r="F17" s="966"/>
      <c r="G17" s="966"/>
      <c r="H17" s="966"/>
      <c r="I17" s="201"/>
    </row>
    <row r="18" spans="2:9">
      <c r="B18" s="201"/>
      <c r="C18" s="201"/>
      <c r="D18" s="201"/>
      <c r="E18" s="201"/>
      <c r="F18" s="201"/>
      <c r="G18" s="201"/>
      <c r="H18" s="114" t="s">
        <v>56</v>
      </c>
      <c r="I18" s="201"/>
    </row>
    <row r="19" spans="2:9">
      <c r="B19" s="967" t="s">
        <v>2</v>
      </c>
      <c r="C19" s="967" t="s">
        <v>57</v>
      </c>
      <c r="D19" s="969" t="s">
        <v>61</v>
      </c>
      <c r="E19" s="969"/>
      <c r="F19" s="969"/>
      <c r="G19" s="969"/>
      <c r="H19" s="969"/>
      <c r="I19" s="970" t="s">
        <v>62</v>
      </c>
    </row>
    <row r="20" spans="2:9">
      <c r="B20" s="967"/>
      <c r="C20" s="968"/>
      <c r="D20" s="198" t="s">
        <v>70</v>
      </c>
      <c r="E20" s="198" t="s">
        <v>71</v>
      </c>
      <c r="F20" s="198" t="s">
        <v>72</v>
      </c>
      <c r="G20" s="198" t="s">
        <v>73</v>
      </c>
      <c r="H20" s="198" t="s">
        <v>74</v>
      </c>
      <c r="I20" s="971"/>
    </row>
    <row r="21" spans="2:9">
      <c r="B21" s="967"/>
      <c r="C21" s="968"/>
      <c r="D21" s="202" t="s">
        <v>103</v>
      </c>
      <c r="E21" s="202" t="s">
        <v>103</v>
      </c>
      <c r="F21" s="202" t="s">
        <v>103</v>
      </c>
      <c r="G21" s="202" t="s">
        <v>103</v>
      </c>
      <c r="H21" s="202" t="s">
        <v>103</v>
      </c>
      <c r="I21" s="972"/>
    </row>
    <row r="22" spans="2:9">
      <c r="B22" s="203">
        <v>1</v>
      </c>
      <c r="C22" s="204" t="s">
        <v>104</v>
      </c>
      <c r="D22" s="204"/>
      <c r="E22" s="204"/>
      <c r="F22" s="204"/>
      <c r="G22" s="204"/>
      <c r="H22" s="204"/>
      <c r="I22" s="204"/>
    </row>
    <row r="23" spans="2:9">
      <c r="B23" s="205">
        <v>2</v>
      </c>
      <c r="C23" s="204" t="s">
        <v>105</v>
      </c>
      <c r="D23" s="204"/>
      <c r="E23" s="204"/>
      <c r="F23" s="204"/>
      <c r="G23" s="204"/>
      <c r="H23" s="204"/>
      <c r="I23" s="204"/>
    </row>
    <row r="24" spans="2:9">
      <c r="B24" s="205">
        <v>3</v>
      </c>
      <c r="C24" s="204" t="s">
        <v>106</v>
      </c>
      <c r="D24" s="204"/>
      <c r="E24" s="204"/>
      <c r="F24" s="204"/>
      <c r="G24" s="204"/>
      <c r="H24" s="204"/>
      <c r="I24" s="204"/>
    </row>
    <row r="25" spans="2:9">
      <c r="B25" s="205" t="s">
        <v>107</v>
      </c>
      <c r="C25" s="204"/>
      <c r="D25" s="204"/>
      <c r="E25" s="204"/>
      <c r="F25" s="204"/>
      <c r="G25" s="204"/>
      <c r="H25" s="204"/>
      <c r="I25" s="204"/>
    </row>
    <row r="26" spans="2:9">
      <c r="B26" s="201"/>
      <c r="C26" s="201"/>
      <c r="D26" s="201"/>
      <c r="E26" s="201"/>
      <c r="F26" s="201"/>
      <c r="G26" s="201"/>
      <c r="H26" s="201"/>
      <c r="I26" s="201"/>
    </row>
    <row r="27" spans="2:9">
      <c r="B27" s="201" t="s">
        <v>108</v>
      </c>
      <c r="C27" s="201"/>
      <c r="D27" s="201"/>
      <c r="E27" s="201"/>
      <c r="F27" s="201"/>
      <c r="G27" s="201"/>
      <c r="H27" s="201"/>
      <c r="I27" s="201"/>
    </row>
  </sheetData>
  <mergeCells count="24">
    <mergeCell ref="T11:T13"/>
    <mergeCell ref="O11:O13"/>
    <mergeCell ref="P11:P13"/>
    <mergeCell ref="Q11:Q13"/>
    <mergeCell ref="R11:R13"/>
    <mergeCell ref="S11:S13"/>
    <mergeCell ref="E11:E13"/>
    <mergeCell ref="G11:G13"/>
    <mergeCell ref="H11:H13"/>
    <mergeCell ref="J11:J13"/>
    <mergeCell ref="K11:K13"/>
    <mergeCell ref="P7:T7"/>
    <mergeCell ref="U7:U9"/>
    <mergeCell ref="B7:B9"/>
    <mergeCell ref="C7:C9"/>
    <mergeCell ref="D7:D9"/>
    <mergeCell ref="H7:J7"/>
    <mergeCell ref="K7:O7"/>
    <mergeCell ref="E7:G7"/>
    <mergeCell ref="B17:H17"/>
    <mergeCell ref="B19:B21"/>
    <mergeCell ref="C19:C21"/>
    <mergeCell ref="D19:H19"/>
    <mergeCell ref="I19:I21"/>
  </mergeCells>
  <pageMargins left="3.937007874015748E-2" right="3.937007874015748E-2" top="0.98425196850393704" bottom="0.98425196850393704" header="0.23622047244094491" footer="0.23622047244094491"/>
  <pageSetup paperSize="9" scale="41" orientation="landscape" r:id="rId1"/>
  <headerFooter alignWithMargins="0">
    <oddHeader>&amp;F</oddHeader>
  </headerFooter>
</worksheet>
</file>

<file path=xl/worksheets/sheet30.xml><?xml version="1.0" encoding="utf-8"?>
<worksheet xmlns="http://schemas.openxmlformats.org/spreadsheetml/2006/main" xmlns:r="http://schemas.openxmlformats.org/officeDocument/2006/relationships">
  <dimension ref="A1:O241"/>
  <sheetViews>
    <sheetView view="pageBreakPreview" topLeftCell="E34" zoomScale="80" zoomScaleNormal="90" zoomScaleSheetLayoutView="80" workbookViewId="0">
      <selection activeCell="E17" sqref="E17:J17"/>
    </sheetView>
  </sheetViews>
  <sheetFormatPr defaultColWidth="8.85546875" defaultRowHeight="12.75"/>
  <cols>
    <col min="2" max="2" width="7.7109375" customWidth="1"/>
    <col min="3" max="3" width="61.7109375" customWidth="1"/>
    <col min="4" max="4" width="20" customWidth="1"/>
    <col min="5" max="5" width="18.42578125" customWidth="1"/>
    <col min="6" max="9" width="17.28515625" customWidth="1"/>
    <col min="10" max="10" width="16.7109375" customWidth="1"/>
    <col min="15" max="15" width="11.42578125" bestFit="1" customWidth="1"/>
  </cols>
  <sheetData>
    <row r="1" spans="1:14" s="3" customFormat="1" ht="15">
      <c r="A1" s="115"/>
      <c r="B1" s="115"/>
      <c r="C1" s="115"/>
      <c r="D1" s="115"/>
      <c r="E1" s="115"/>
      <c r="F1" s="115"/>
      <c r="G1" s="115"/>
      <c r="H1" s="115"/>
      <c r="I1" s="115"/>
      <c r="J1" s="115"/>
      <c r="K1" s="115"/>
      <c r="L1" s="115"/>
      <c r="M1" s="115"/>
      <c r="N1" s="115"/>
    </row>
    <row r="2" spans="1:14" s="3" customFormat="1" ht="55.5" customHeight="1">
      <c r="A2" s="115"/>
      <c r="B2" s="1040" t="s">
        <v>1890</v>
      </c>
      <c r="C2" s="1040"/>
      <c r="D2" s="1040"/>
      <c r="E2" s="1040"/>
      <c r="F2" s="1040"/>
      <c r="G2" s="1040"/>
      <c r="H2" s="1040"/>
      <c r="I2" s="1040"/>
      <c r="J2" s="1040"/>
      <c r="K2" s="299"/>
      <c r="L2" s="299"/>
      <c r="M2" s="299"/>
      <c r="N2" s="299"/>
    </row>
    <row r="3" spans="1:14" s="3" customFormat="1" ht="15">
      <c r="A3" s="115"/>
      <c r="B3" s="115"/>
      <c r="C3" s="115"/>
      <c r="D3" s="115"/>
      <c r="E3" s="115"/>
      <c r="F3" s="115"/>
      <c r="G3" s="115"/>
      <c r="H3" s="115"/>
      <c r="I3" s="115"/>
      <c r="J3" s="115"/>
      <c r="K3" s="115"/>
      <c r="L3" s="115"/>
      <c r="M3" s="115"/>
      <c r="N3" s="115"/>
    </row>
    <row r="4" spans="1:14" s="3" customFormat="1" ht="15">
      <c r="A4" s="115"/>
      <c r="B4" s="115"/>
      <c r="C4" s="115"/>
      <c r="D4" s="115"/>
      <c r="E4" s="115"/>
      <c r="F4" s="115"/>
      <c r="G4" s="115"/>
      <c r="H4" s="115"/>
      <c r="I4" s="115"/>
      <c r="J4" s="127" t="s">
        <v>587</v>
      </c>
      <c r="K4" s="115"/>
      <c r="L4" s="115"/>
      <c r="M4" s="115"/>
      <c r="N4" s="115"/>
    </row>
    <row r="5" spans="1:14" s="3" customFormat="1" ht="30" customHeight="1">
      <c r="A5" s="115"/>
      <c r="B5" s="954" t="s">
        <v>365</v>
      </c>
      <c r="C5" s="954" t="s">
        <v>57</v>
      </c>
      <c r="D5" s="963" t="s">
        <v>60</v>
      </c>
      <c r="E5" s="965"/>
      <c r="F5" s="198" t="s">
        <v>70</v>
      </c>
      <c r="G5" s="198" t="s">
        <v>71</v>
      </c>
      <c r="H5" s="198" t="s">
        <v>72</v>
      </c>
      <c r="I5" s="198" t="s">
        <v>73</v>
      </c>
      <c r="J5" s="198" t="s">
        <v>74</v>
      </c>
      <c r="K5" s="115"/>
      <c r="L5" s="115"/>
      <c r="M5" s="115"/>
      <c r="N5" s="115"/>
    </row>
    <row r="6" spans="1:14" s="3" customFormat="1" ht="34.5" customHeight="1">
      <c r="A6" s="115"/>
      <c r="B6" s="954"/>
      <c r="C6" s="954"/>
      <c r="D6" s="198" t="s">
        <v>588</v>
      </c>
      <c r="E6" s="198" t="s">
        <v>589</v>
      </c>
      <c r="F6" s="198" t="s">
        <v>86</v>
      </c>
      <c r="G6" s="198" t="s">
        <v>86</v>
      </c>
      <c r="H6" s="198" t="s">
        <v>86</v>
      </c>
      <c r="I6" s="198" t="s">
        <v>86</v>
      </c>
      <c r="J6" s="198" t="s">
        <v>86</v>
      </c>
      <c r="K6" s="115"/>
      <c r="L6" s="115"/>
      <c r="M6" s="115"/>
      <c r="N6" s="115"/>
    </row>
    <row r="7" spans="1:14" s="3" customFormat="1" ht="15">
      <c r="A7" s="115"/>
      <c r="B7" s="303">
        <v>1</v>
      </c>
      <c r="C7" s="302" t="s">
        <v>590</v>
      </c>
      <c r="D7" s="302"/>
      <c r="E7" s="489">
        <f ca="1">E36</f>
        <v>9212.8846935281199</v>
      </c>
      <c r="F7" s="489">
        <f ca="1">E14</f>
        <v>7588.9446935281194</v>
      </c>
      <c r="G7" s="489">
        <f ca="1">F14</f>
        <v>93.944693528119387</v>
      </c>
      <c r="H7" s="489">
        <f t="shared" ref="H7:J7" ca="1" si="0">G14</f>
        <v>0</v>
      </c>
      <c r="I7" s="489">
        <f t="shared" ca="1" si="0"/>
        <v>0</v>
      </c>
      <c r="J7" s="489">
        <f t="shared" ca="1" si="0"/>
        <v>0</v>
      </c>
      <c r="K7" s="115"/>
      <c r="L7" s="115"/>
      <c r="M7" s="115"/>
      <c r="N7" s="115"/>
    </row>
    <row r="8" spans="1:14" s="3" customFormat="1" ht="15">
      <c r="A8" s="115"/>
      <c r="B8" s="303">
        <f>B7+1</f>
        <v>2</v>
      </c>
      <c r="C8" s="302" t="s">
        <v>591</v>
      </c>
      <c r="D8" s="302"/>
      <c r="E8" s="166"/>
      <c r="F8" s="489"/>
      <c r="G8" s="489"/>
      <c r="H8" s="489"/>
      <c r="I8" s="489"/>
      <c r="J8" s="489"/>
      <c r="K8" s="115"/>
      <c r="L8" s="115"/>
      <c r="M8" s="115"/>
      <c r="N8" s="115"/>
    </row>
    <row r="9" spans="1:14" s="3" customFormat="1" ht="15">
      <c r="A9" s="115"/>
      <c r="B9" s="303">
        <f t="shared" ref="B9:B11" si="1">B8+1</f>
        <v>3</v>
      </c>
      <c r="C9" s="302" t="s">
        <v>592</v>
      </c>
      <c r="D9" s="302"/>
      <c r="E9" s="489">
        <f ca="1">E7+E8</f>
        <v>9212.8846935281199</v>
      </c>
      <c r="F9" s="489">
        <f t="shared" ref="F9:J9" ca="1" si="2">F7+F8</f>
        <v>7588.9446935281194</v>
      </c>
      <c r="G9" s="489">
        <f t="shared" ca="1" si="2"/>
        <v>93.944693528119387</v>
      </c>
      <c r="H9" s="489">
        <f t="shared" ca="1" si="2"/>
        <v>0</v>
      </c>
      <c r="I9" s="489">
        <f t="shared" ca="1" si="2"/>
        <v>0</v>
      </c>
      <c r="J9" s="489">
        <f t="shared" ca="1" si="2"/>
        <v>0</v>
      </c>
      <c r="K9" s="115"/>
      <c r="L9" s="115"/>
      <c r="M9" s="115"/>
      <c r="N9" s="115"/>
    </row>
    <row r="10" spans="1:14" s="3" customFormat="1" ht="15">
      <c r="A10" s="115"/>
      <c r="B10" s="218">
        <f t="shared" si="1"/>
        <v>4</v>
      </c>
      <c r="C10" s="302" t="s">
        <v>593</v>
      </c>
      <c r="D10" s="302"/>
      <c r="E10" s="166">
        <f>'F3'!M12</f>
        <v>1623.94</v>
      </c>
      <c r="F10" s="489">
        <f ca="1">IF(F9-'F3'!O12&lt;0,F9,'F3'!O12)</f>
        <v>7495</v>
      </c>
      <c r="G10" s="489">
        <f ca="1">IF(G9-'F3'!P12&lt;0,G9,'F3'!P12)</f>
        <v>93.944693528119387</v>
      </c>
      <c r="H10" s="489">
        <f ca="1">IF(H9-'F3'!Q12&lt;0,H9,'F3'!Q12)</f>
        <v>0</v>
      </c>
      <c r="I10" s="489"/>
      <c r="J10" s="489"/>
      <c r="K10" s="115"/>
      <c r="L10" s="115"/>
      <c r="M10" s="115"/>
      <c r="N10" s="115"/>
    </row>
    <row r="11" spans="1:14" s="3" customFormat="1" ht="15">
      <c r="A11" s="115"/>
      <c r="B11" s="303">
        <f t="shared" si="1"/>
        <v>5</v>
      </c>
      <c r="C11" s="302" t="s">
        <v>594</v>
      </c>
      <c r="D11" s="302"/>
      <c r="E11" s="166"/>
      <c r="F11" s="489"/>
      <c r="G11" s="489"/>
      <c r="H11" s="489"/>
      <c r="I11" s="489"/>
      <c r="J11" s="489"/>
      <c r="K11" s="115"/>
      <c r="L11" s="115"/>
      <c r="M11" s="115"/>
      <c r="N11" s="115"/>
    </row>
    <row r="12" spans="1:14" s="3" customFormat="1" ht="15">
      <c r="A12" s="115"/>
      <c r="B12" s="1068">
        <v>6</v>
      </c>
      <c r="C12" s="1069" t="s">
        <v>595</v>
      </c>
      <c r="D12" s="313" t="s">
        <v>596</v>
      </c>
      <c r="F12" s="489"/>
      <c r="G12" s="489"/>
      <c r="H12" s="489"/>
      <c r="I12" s="489"/>
      <c r="J12" s="489"/>
      <c r="K12" s="115"/>
      <c r="L12" s="115"/>
      <c r="M12" s="115"/>
      <c r="N12" s="115"/>
    </row>
    <row r="13" spans="1:14" s="3" customFormat="1" ht="15">
      <c r="A13" s="115"/>
      <c r="B13" s="1068"/>
      <c r="C13" s="1069"/>
      <c r="D13" s="313" t="s">
        <v>596</v>
      </c>
      <c r="F13" s="421"/>
      <c r="G13" s="421"/>
      <c r="H13" s="421"/>
      <c r="I13" s="421"/>
      <c r="J13" s="421"/>
      <c r="K13" s="115"/>
      <c r="L13" s="115"/>
      <c r="M13" s="115"/>
      <c r="N13" s="115"/>
    </row>
    <row r="14" spans="1:14" s="3" customFormat="1" ht="15">
      <c r="A14" s="115"/>
      <c r="B14" s="303">
        <v>7</v>
      </c>
      <c r="C14" s="302" t="s">
        <v>597</v>
      </c>
      <c r="D14" s="302"/>
      <c r="E14" s="489">
        <f ca="1">E9-E10</f>
        <v>7588.9446935281194</v>
      </c>
      <c r="F14" s="489">
        <f t="shared" ref="F14:J14" ca="1" si="3">F9-F10</f>
        <v>93.944693528119387</v>
      </c>
      <c r="G14" s="489">
        <f t="shared" ca="1" si="3"/>
        <v>0</v>
      </c>
      <c r="H14" s="489">
        <f t="shared" ca="1" si="3"/>
        <v>0</v>
      </c>
      <c r="I14" s="489">
        <f t="shared" ca="1" si="3"/>
        <v>0</v>
      </c>
      <c r="J14" s="489">
        <f t="shared" ca="1" si="3"/>
        <v>0</v>
      </c>
      <c r="K14" s="115"/>
      <c r="L14" s="115"/>
      <c r="M14" s="115"/>
      <c r="N14" s="115"/>
    </row>
    <row r="15" spans="1:14" s="3" customFormat="1" ht="13.5" customHeight="1">
      <c r="A15" s="115"/>
      <c r="B15" s="308">
        <v>8</v>
      </c>
      <c r="C15" s="302" t="s">
        <v>598</v>
      </c>
      <c r="D15" s="302"/>
      <c r="E15" s="489">
        <f ca="1">(E7+E14)/2</f>
        <v>8400.9146935281206</v>
      </c>
      <c r="F15" s="489">
        <f t="shared" ref="F15:J15" ca="1" si="4">(F7+F14)/2</f>
        <v>3841.4446935281194</v>
      </c>
      <c r="G15" s="489">
        <f t="shared" ca="1" si="4"/>
        <v>46.972346764059694</v>
      </c>
      <c r="H15" s="489">
        <f t="shared" ca="1" si="4"/>
        <v>0</v>
      </c>
      <c r="I15" s="489">
        <f t="shared" ca="1" si="4"/>
        <v>0</v>
      </c>
      <c r="J15" s="489">
        <f t="shared" ca="1" si="4"/>
        <v>0</v>
      </c>
      <c r="K15" s="298"/>
      <c r="L15" s="298"/>
      <c r="M15" s="298"/>
      <c r="N15" s="298"/>
    </row>
    <row r="16" spans="1:14" s="3" customFormat="1" ht="13.5" customHeight="1">
      <c r="A16" s="115"/>
      <c r="B16" s="308">
        <v>9</v>
      </c>
      <c r="C16" s="302" t="s">
        <v>599</v>
      </c>
      <c r="D16" s="302"/>
      <c r="E16" s="488">
        <f>E38</f>
        <v>6.6507113515679797E-2</v>
      </c>
      <c r="F16" s="488">
        <f>E16</f>
        <v>6.6507113515679797E-2</v>
      </c>
      <c r="G16" s="488">
        <f t="shared" ref="G16:J16" si="5">F16</f>
        <v>6.6507113515679797E-2</v>
      </c>
      <c r="H16" s="488">
        <f t="shared" si="5"/>
        <v>6.6507113515679797E-2</v>
      </c>
      <c r="I16" s="488">
        <f t="shared" si="5"/>
        <v>6.6507113515679797E-2</v>
      </c>
      <c r="J16" s="488">
        <f t="shared" si="5"/>
        <v>6.6507113515679797E-2</v>
      </c>
      <c r="K16" s="298"/>
      <c r="L16" s="298"/>
      <c r="M16" s="298"/>
      <c r="N16" s="298"/>
    </row>
    <row r="17" spans="1:15" s="3" customFormat="1" ht="13.5" customHeight="1">
      <c r="A17" s="115"/>
      <c r="B17" s="308">
        <v>10</v>
      </c>
      <c r="C17" s="302" t="s">
        <v>600</v>
      </c>
      <c r="D17" s="302"/>
      <c r="E17" s="489">
        <f ca="1">E16*E15</f>
        <v>558.72058715801711</v>
      </c>
      <c r="F17" s="489">
        <f t="shared" ref="F17:J17" ca="1" si="6">F16*F15</f>
        <v>255.48339829668043</v>
      </c>
      <c r="G17" s="489">
        <f t="shared" ca="1" si="6"/>
        <v>3.1239951983351926</v>
      </c>
      <c r="H17" s="489">
        <f t="shared" ca="1" si="6"/>
        <v>0</v>
      </c>
      <c r="I17" s="489">
        <f t="shared" ca="1" si="6"/>
        <v>0</v>
      </c>
      <c r="J17" s="489">
        <f t="shared" ca="1" si="6"/>
        <v>0</v>
      </c>
      <c r="K17" s="298"/>
      <c r="L17" s="298"/>
      <c r="M17" s="298"/>
      <c r="N17" s="298"/>
    </row>
    <row r="18" spans="1:15" s="3" customFormat="1" ht="15">
      <c r="A18" s="115"/>
      <c r="B18" s="4"/>
      <c r="C18" s="4"/>
      <c r="D18" s="4"/>
      <c r="E18" s="4"/>
      <c r="F18" s="4"/>
      <c r="G18" s="4"/>
      <c r="H18" s="4"/>
      <c r="I18" s="4"/>
      <c r="J18" s="4"/>
      <c r="K18" s="115"/>
      <c r="L18" s="115"/>
      <c r="M18" s="115"/>
      <c r="N18" s="115"/>
    </row>
    <row r="20" spans="1:15">
      <c r="C20" s="301" t="s">
        <v>601</v>
      </c>
      <c r="D20" s="301"/>
    </row>
    <row r="21" spans="1:15">
      <c r="E21" t="s">
        <v>1553</v>
      </c>
      <c r="F21" s="624">
        <f ca="1">'F3'!O12-F10</f>
        <v>0</v>
      </c>
      <c r="G21" s="624">
        <f ca="1">'F3'!P12-G10</f>
        <v>12423.055306471881</v>
      </c>
      <c r="H21" s="624">
        <f>'F3'!Q12</f>
        <v>8060</v>
      </c>
      <c r="I21" s="624">
        <f>'F3'!R12</f>
        <v>5315</v>
      </c>
      <c r="J21" s="624">
        <f>'F3'!S12</f>
        <v>3822</v>
      </c>
    </row>
    <row r="22" spans="1:15">
      <c r="F22" s="653" t="s">
        <v>1556</v>
      </c>
    </row>
    <row r="25" spans="1:15">
      <c r="D25" s="301" t="s">
        <v>1325</v>
      </c>
    </row>
    <row r="27" spans="1:15" ht="14.1" customHeight="1">
      <c r="B27" s="954" t="s">
        <v>365</v>
      </c>
      <c r="C27" s="954" t="s">
        <v>57</v>
      </c>
      <c r="D27" s="1005" t="s">
        <v>1323</v>
      </c>
      <c r="E27" s="1005" t="s">
        <v>1324</v>
      </c>
    </row>
    <row r="28" spans="1:15" ht="14.1" customHeight="1">
      <c r="B28" s="954"/>
      <c r="C28" s="954"/>
      <c r="D28" s="1035"/>
      <c r="E28" s="1035"/>
      <c r="O28" s="660">
        <f ca="1">15495-F7</f>
        <v>7906.0553064718806</v>
      </c>
    </row>
    <row r="29" spans="1:15" ht="15">
      <c r="B29" s="303">
        <v>1</v>
      </c>
      <c r="C29" s="302" t="s">
        <v>590</v>
      </c>
      <c r="D29" s="302">
        <v>6750.87</v>
      </c>
      <c r="E29" s="489">
        <f ca="1">D36</f>
        <v>9140.1150501243101</v>
      </c>
    </row>
    <row r="30" spans="1:15" ht="15">
      <c r="B30" s="303">
        <f>B29+1</f>
        <v>2</v>
      </c>
      <c r="C30" s="302" t="s">
        <v>591</v>
      </c>
      <c r="D30" s="501">
        <f ca="1">-'F14'!J27</f>
        <v>2934.4579000243093</v>
      </c>
      <c r="E30" s="489">
        <f ca="1">-'F14'!J54</f>
        <v>391.06756940380956</v>
      </c>
    </row>
    <row r="31" spans="1:15" ht="14.25">
      <c r="B31" s="303">
        <f t="shared" ref="B31:B33" si="7">B30+1</f>
        <v>3</v>
      </c>
      <c r="C31" s="302" t="s">
        <v>592</v>
      </c>
      <c r="D31" s="501">
        <f ca="1">D29+D30</f>
        <v>9685.3279000243092</v>
      </c>
      <c r="E31" s="501">
        <f ca="1">E29+E30</f>
        <v>9531.1826195281192</v>
      </c>
    </row>
    <row r="32" spans="1:15" ht="15">
      <c r="B32" s="218">
        <f t="shared" si="7"/>
        <v>4</v>
      </c>
      <c r="C32" s="302" t="s">
        <v>593</v>
      </c>
      <c r="D32" s="508">
        <f>'F3'!E12</f>
        <v>545.21284990000004</v>
      </c>
      <c r="E32" s="556">
        <f>'F3'!H12</f>
        <v>318.29792600000002</v>
      </c>
    </row>
    <row r="33" spans="2:10" ht="15">
      <c r="B33" s="303">
        <f t="shared" si="7"/>
        <v>5</v>
      </c>
      <c r="C33" s="302" t="s">
        <v>594</v>
      </c>
      <c r="D33" s="302"/>
      <c r="E33" s="166"/>
    </row>
    <row r="34" spans="2:10" ht="15">
      <c r="B34" s="1068">
        <v>6</v>
      </c>
      <c r="C34" s="1069" t="s">
        <v>595</v>
      </c>
      <c r="D34" s="313" t="s">
        <v>596</v>
      </c>
      <c r="E34" s="3"/>
    </row>
    <row r="35" spans="2:10" ht="15">
      <c r="B35" s="1068"/>
      <c r="C35" s="1069"/>
      <c r="D35" s="313" t="s">
        <v>596</v>
      </c>
      <c r="E35" s="3"/>
    </row>
    <row r="36" spans="2:10" ht="18">
      <c r="B36" s="303">
        <v>7</v>
      </c>
      <c r="C36" s="302" t="s">
        <v>597</v>
      </c>
      <c r="D36" s="501">
        <f ca="1">D31-D32</f>
        <v>9140.1150501243101</v>
      </c>
      <c r="E36" s="659">
        <f ca="1">E31-E32</f>
        <v>9212.8846935281199</v>
      </c>
    </row>
    <row r="37" spans="2:10" ht="14.25">
      <c r="B37" s="308">
        <v>8</v>
      </c>
      <c r="C37" s="302" t="s">
        <v>598</v>
      </c>
      <c r="D37" s="501">
        <f ca="1">(D29+D36)/2</f>
        <v>7945.4925250621545</v>
      </c>
      <c r="E37" s="501">
        <f ca="1">(E29+E36)/2</f>
        <v>9176.4998718262141</v>
      </c>
    </row>
    <row r="38" spans="2:10" ht="15">
      <c r="B38" s="308">
        <v>9</v>
      </c>
      <c r="C38" s="302" t="s">
        <v>599</v>
      </c>
      <c r="D38" s="555">
        <f>J133%</f>
        <v>5.6994256312073714E-2</v>
      </c>
      <c r="E38" s="488">
        <f>J241%</f>
        <v>6.6507113515679797E-2</v>
      </c>
    </row>
    <row r="39" spans="2:10" ht="14.25">
      <c r="B39" s="308">
        <v>10</v>
      </c>
      <c r="C39" s="302" t="s">
        <v>600</v>
      </c>
      <c r="D39" s="501">
        <f ca="1">D38*D37</f>
        <v>452.84743749905823</v>
      </c>
      <c r="E39" s="501">
        <f ca="1">E38*E37</f>
        <v>610.30251865216712</v>
      </c>
    </row>
    <row r="40" spans="2:10" ht="15">
      <c r="B40" s="4"/>
      <c r="C40" s="4"/>
      <c r="D40" s="4"/>
      <c r="E40" s="4"/>
    </row>
    <row r="43" spans="2:10" ht="15">
      <c r="B43" s="514" t="s">
        <v>1326</v>
      </c>
      <c r="C43" s="514" t="s">
        <v>1327</v>
      </c>
      <c r="D43" s="514" t="s">
        <v>1328</v>
      </c>
      <c r="E43" s="514" t="s">
        <v>1329</v>
      </c>
      <c r="F43" s="514" t="s">
        <v>1330</v>
      </c>
      <c r="G43" s="514" t="s">
        <v>1331</v>
      </c>
      <c r="H43" s="514" t="s">
        <v>1332</v>
      </c>
      <c r="I43" s="514" t="s">
        <v>1333</v>
      </c>
      <c r="J43" s="514" t="s">
        <v>1334</v>
      </c>
    </row>
    <row r="44" spans="2:10" ht="15">
      <c r="B44" s="510">
        <v>1</v>
      </c>
      <c r="C44" s="512" t="s">
        <v>1335</v>
      </c>
      <c r="D44" s="516" t="s">
        <v>1336</v>
      </c>
      <c r="E44" s="512" t="s">
        <v>1337</v>
      </c>
      <c r="F44" s="516" t="s">
        <v>1338</v>
      </c>
      <c r="G44" s="512">
        <v>2500000</v>
      </c>
      <c r="H44" s="517">
        <v>44655</v>
      </c>
      <c r="I44" s="515">
        <v>45016</v>
      </c>
      <c r="J44" s="518">
        <v>4.9000000000000004</v>
      </c>
    </row>
    <row r="45" spans="2:10" ht="15">
      <c r="B45" s="510">
        <v>2</v>
      </c>
      <c r="C45" s="512" t="s">
        <v>1335</v>
      </c>
      <c r="D45" s="516" t="s">
        <v>1339</v>
      </c>
      <c r="E45" s="512" t="s">
        <v>1337</v>
      </c>
      <c r="F45" s="516" t="s">
        <v>1340</v>
      </c>
      <c r="G45" s="512">
        <v>2500000</v>
      </c>
      <c r="H45" s="517">
        <v>44655</v>
      </c>
      <c r="I45" s="515">
        <v>45016</v>
      </c>
      <c r="J45" s="518">
        <v>4.9000000000000004</v>
      </c>
    </row>
    <row r="46" spans="2:10" ht="15">
      <c r="B46" s="510">
        <v>3</v>
      </c>
      <c r="C46" s="512" t="s">
        <v>1335</v>
      </c>
      <c r="D46" s="516" t="s">
        <v>1341</v>
      </c>
      <c r="E46" s="512" t="s">
        <v>1337</v>
      </c>
      <c r="F46" s="516" t="s">
        <v>1342</v>
      </c>
      <c r="G46" s="512">
        <v>2500000</v>
      </c>
      <c r="H46" s="517">
        <v>44655</v>
      </c>
      <c r="I46" s="515">
        <v>45016</v>
      </c>
      <c r="J46" s="518">
        <v>4.9000000000000004</v>
      </c>
    </row>
    <row r="47" spans="2:10" ht="15">
      <c r="B47" s="510">
        <v>4</v>
      </c>
      <c r="C47" s="512" t="s">
        <v>1335</v>
      </c>
      <c r="D47" s="516" t="s">
        <v>1343</v>
      </c>
      <c r="E47" s="512" t="s">
        <v>1337</v>
      </c>
      <c r="F47" s="516" t="s">
        <v>1344</v>
      </c>
      <c r="G47" s="512">
        <v>2500000</v>
      </c>
      <c r="H47" s="517">
        <v>44655</v>
      </c>
      <c r="I47" s="515">
        <v>45016</v>
      </c>
      <c r="J47" s="518">
        <v>4.9000000000000004</v>
      </c>
    </row>
    <row r="48" spans="2:10" ht="15">
      <c r="B48" s="510">
        <v>5</v>
      </c>
      <c r="C48" s="512" t="s">
        <v>1335</v>
      </c>
      <c r="D48" s="512">
        <v>789237</v>
      </c>
      <c r="E48" s="512" t="s">
        <v>1337</v>
      </c>
      <c r="F48" s="512">
        <v>60413471102</v>
      </c>
      <c r="G48" s="512">
        <v>9900000</v>
      </c>
      <c r="H48" s="517">
        <v>44672</v>
      </c>
      <c r="I48" s="515">
        <v>45016</v>
      </c>
      <c r="J48" s="518">
        <v>4.9000000000000004</v>
      </c>
    </row>
    <row r="49" spans="2:10" ht="15">
      <c r="B49" s="510">
        <v>6</v>
      </c>
      <c r="C49" s="512" t="s">
        <v>1335</v>
      </c>
      <c r="D49" s="521">
        <v>789266</v>
      </c>
      <c r="E49" s="512" t="s">
        <v>1337</v>
      </c>
      <c r="F49" s="512">
        <v>60414303475</v>
      </c>
      <c r="G49" s="512">
        <v>9900000</v>
      </c>
      <c r="H49" s="517">
        <v>44685</v>
      </c>
      <c r="I49" s="515">
        <v>45016</v>
      </c>
      <c r="J49" s="518">
        <v>4.9000000000000004</v>
      </c>
    </row>
    <row r="50" spans="2:10" ht="15">
      <c r="B50" s="510">
        <v>7</v>
      </c>
      <c r="C50" s="512" t="s">
        <v>1335</v>
      </c>
      <c r="D50" s="521">
        <v>789265</v>
      </c>
      <c r="E50" s="512" t="s">
        <v>1337</v>
      </c>
      <c r="F50" s="512">
        <v>60414303419</v>
      </c>
      <c r="G50" s="512">
        <v>9900000</v>
      </c>
      <c r="H50" s="517">
        <v>44685</v>
      </c>
      <c r="I50" s="515">
        <v>45016</v>
      </c>
      <c r="J50" s="518">
        <v>4.9000000000000004</v>
      </c>
    </row>
    <row r="51" spans="2:10" ht="15">
      <c r="B51" s="510">
        <v>8</v>
      </c>
      <c r="C51" s="512" t="s">
        <v>1335</v>
      </c>
      <c r="D51" s="521">
        <v>789267</v>
      </c>
      <c r="E51" s="512" t="s">
        <v>1337</v>
      </c>
      <c r="F51" s="512">
        <v>60414303328</v>
      </c>
      <c r="G51" s="512">
        <v>9900000</v>
      </c>
      <c r="H51" s="517">
        <v>44685</v>
      </c>
      <c r="I51" s="515">
        <v>45016</v>
      </c>
      <c r="J51" s="518">
        <v>4.9000000000000004</v>
      </c>
    </row>
    <row r="52" spans="2:10" ht="15">
      <c r="B52" s="510">
        <v>9</v>
      </c>
      <c r="C52" s="512" t="s">
        <v>1335</v>
      </c>
      <c r="D52" s="521">
        <v>789278</v>
      </c>
      <c r="E52" s="512" t="s">
        <v>1337</v>
      </c>
      <c r="F52" s="512">
        <v>60414819911</v>
      </c>
      <c r="G52" s="512">
        <v>2500000</v>
      </c>
      <c r="H52" s="517">
        <v>44692</v>
      </c>
      <c r="I52" s="515">
        <v>45016</v>
      </c>
      <c r="J52" s="519">
        <v>5</v>
      </c>
    </row>
    <row r="53" spans="2:10" ht="15">
      <c r="B53" s="510">
        <v>10</v>
      </c>
      <c r="C53" s="512" t="s">
        <v>1335</v>
      </c>
      <c r="D53" s="521">
        <v>789326</v>
      </c>
      <c r="E53" s="512" t="s">
        <v>1337</v>
      </c>
      <c r="F53" s="512">
        <v>60416696576</v>
      </c>
      <c r="G53" s="512">
        <v>9900000</v>
      </c>
      <c r="H53" s="517">
        <v>44719</v>
      </c>
      <c r="I53" s="515">
        <v>45016</v>
      </c>
      <c r="J53" s="519">
        <v>5</v>
      </c>
    </row>
    <row r="54" spans="2:10" ht="15">
      <c r="B54" s="510">
        <v>11</v>
      </c>
      <c r="C54" s="512" t="s">
        <v>1335</v>
      </c>
      <c r="D54" s="521">
        <v>789325</v>
      </c>
      <c r="E54" s="512" t="s">
        <v>1337</v>
      </c>
      <c r="F54" s="512">
        <v>60416696496</v>
      </c>
      <c r="G54" s="512">
        <v>9900000</v>
      </c>
      <c r="H54" s="517">
        <v>44719</v>
      </c>
      <c r="I54" s="515">
        <v>45016</v>
      </c>
      <c r="J54" s="519">
        <v>5</v>
      </c>
    </row>
    <row r="55" spans="2:10" ht="15">
      <c r="B55" s="510">
        <v>12</v>
      </c>
      <c r="C55" s="512" t="s">
        <v>1335</v>
      </c>
      <c r="D55" s="521">
        <v>789324</v>
      </c>
      <c r="E55" s="512" t="s">
        <v>1337</v>
      </c>
      <c r="F55" s="512">
        <v>60416696394</v>
      </c>
      <c r="G55" s="512">
        <v>9900000</v>
      </c>
      <c r="H55" s="517">
        <v>44719</v>
      </c>
      <c r="I55" s="515">
        <v>45016</v>
      </c>
      <c r="J55" s="519">
        <v>5</v>
      </c>
    </row>
    <row r="56" spans="2:10" ht="15">
      <c r="B56" s="510">
        <v>13</v>
      </c>
      <c r="C56" s="512" t="s">
        <v>1335</v>
      </c>
      <c r="D56" s="521">
        <v>789482</v>
      </c>
      <c r="E56" s="512" t="s">
        <v>1337</v>
      </c>
      <c r="F56" s="512">
        <v>60424719834</v>
      </c>
      <c r="G56" s="512">
        <v>2500000</v>
      </c>
      <c r="H56" s="517">
        <v>44811</v>
      </c>
      <c r="I56" s="515">
        <v>45016</v>
      </c>
      <c r="J56" s="519">
        <v>5.4</v>
      </c>
    </row>
    <row r="57" spans="2:10" ht="15">
      <c r="B57" s="510">
        <v>14</v>
      </c>
      <c r="C57" s="512" t="s">
        <v>1335</v>
      </c>
      <c r="D57" s="521">
        <v>789493</v>
      </c>
      <c r="E57" s="512" t="s">
        <v>1337</v>
      </c>
      <c r="F57" s="512">
        <v>60425189156</v>
      </c>
      <c r="G57" s="512">
        <v>2500000</v>
      </c>
      <c r="H57" s="517">
        <v>44819</v>
      </c>
      <c r="I57" s="515">
        <v>45016</v>
      </c>
      <c r="J57" s="519">
        <v>5.4</v>
      </c>
    </row>
    <row r="58" spans="2:10" ht="15">
      <c r="B58" s="510">
        <v>15</v>
      </c>
      <c r="C58" s="512" t="s">
        <v>1335</v>
      </c>
      <c r="D58" s="521">
        <v>789417</v>
      </c>
      <c r="E58" s="512" t="s">
        <v>1337</v>
      </c>
      <c r="F58" s="512">
        <v>60421667059</v>
      </c>
      <c r="G58" s="512">
        <v>9900000</v>
      </c>
      <c r="H58" s="517">
        <v>44776</v>
      </c>
      <c r="I58" s="515">
        <v>45016</v>
      </c>
      <c r="J58" s="520">
        <v>5.25</v>
      </c>
    </row>
    <row r="59" spans="2:10" ht="15">
      <c r="B59" s="510">
        <v>16</v>
      </c>
      <c r="C59" s="512" t="s">
        <v>1335</v>
      </c>
      <c r="D59" s="521">
        <v>789531</v>
      </c>
      <c r="E59" s="512" t="s">
        <v>1337</v>
      </c>
      <c r="F59" s="512">
        <v>60427319323</v>
      </c>
      <c r="G59" s="512">
        <v>2500000</v>
      </c>
      <c r="H59" s="517">
        <v>44844</v>
      </c>
      <c r="I59" s="515">
        <v>45016</v>
      </c>
      <c r="J59" s="519">
        <v>5.4</v>
      </c>
    </row>
    <row r="60" spans="2:10" ht="15">
      <c r="B60" s="510">
        <v>17</v>
      </c>
      <c r="C60" s="512" t="s">
        <v>1335</v>
      </c>
      <c r="D60" s="521">
        <v>789683</v>
      </c>
      <c r="E60" s="512" t="s">
        <v>1337</v>
      </c>
      <c r="F60" s="512">
        <v>60433324379</v>
      </c>
      <c r="G60" s="512">
        <v>102000000</v>
      </c>
      <c r="H60" s="517">
        <v>44912</v>
      </c>
      <c r="I60" s="515">
        <v>45016</v>
      </c>
      <c r="J60" s="519">
        <v>7.6</v>
      </c>
    </row>
    <row r="61" spans="2:10" ht="15">
      <c r="B61" s="510">
        <v>18</v>
      </c>
      <c r="C61" s="512" t="s">
        <v>1335</v>
      </c>
      <c r="D61" s="521">
        <v>789602</v>
      </c>
      <c r="E61" s="512" t="s">
        <v>1337</v>
      </c>
      <c r="F61" s="512">
        <v>60429786330</v>
      </c>
      <c r="G61" s="512">
        <v>2500000</v>
      </c>
      <c r="H61" s="517">
        <v>44875</v>
      </c>
      <c r="I61" s="515">
        <v>45016</v>
      </c>
      <c r="J61" s="519">
        <v>6</v>
      </c>
    </row>
    <row r="62" spans="2:10" ht="15">
      <c r="B62" s="510">
        <v>19</v>
      </c>
      <c r="C62" s="512" t="s">
        <v>1335</v>
      </c>
      <c r="D62" s="521">
        <v>789802</v>
      </c>
      <c r="E62" s="521" t="s">
        <v>1337</v>
      </c>
      <c r="F62" s="522" t="s">
        <v>1345</v>
      </c>
      <c r="G62" s="512">
        <v>2500000</v>
      </c>
      <c r="H62" s="517">
        <v>44936</v>
      </c>
      <c r="I62" s="515">
        <v>45016</v>
      </c>
      <c r="J62" s="519">
        <v>6.15</v>
      </c>
    </row>
    <row r="63" spans="2:10" ht="15">
      <c r="B63" s="510">
        <v>20</v>
      </c>
      <c r="C63" s="512" t="s">
        <v>1335</v>
      </c>
      <c r="D63" s="521">
        <v>789787</v>
      </c>
      <c r="E63" s="512" t="s">
        <v>1337</v>
      </c>
      <c r="F63" s="512">
        <v>60438513576</v>
      </c>
      <c r="G63" s="512">
        <v>2500000</v>
      </c>
      <c r="H63" s="517">
        <v>44965</v>
      </c>
      <c r="I63" s="515">
        <v>45016</v>
      </c>
      <c r="J63" s="519">
        <v>6.15</v>
      </c>
    </row>
    <row r="64" spans="2:10" ht="15">
      <c r="B64" s="510">
        <v>21</v>
      </c>
      <c r="C64" s="512" t="s">
        <v>1335</v>
      </c>
      <c r="D64" s="521">
        <v>789788</v>
      </c>
      <c r="E64" s="512" t="s">
        <v>1337</v>
      </c>
      <c r="F64" s="512">
        <v>60438514194</v>
      </c>
      <c r="G64" s="512">
        <v>2500000</v>
      </c>
      <c r="H64" s="517">
        <v>44965</v>
      </c>
      <c r="I64" s="515">
        <v>45016</v>
      </c>
      <c r="J64" s="519">
        <v>6.15</v>
      </c>
    </row>
    <row r="65" spans="2:10" ht="15">
      <c r="B65" s="510">
        <v>22</v>
      </c>
      <c r="C65" s="512" t="s">
        <v>1335</v>
      </c>
      <c r="D65" s="521">
        <v>789910</v>
      </c>
      <c r="E65" s="512" t="s">
        <v>1337</v>
      </c>
      <c r="F65" s="512">
        <v>60439935643</v>
      </c>
      <c r="G65" s="512">
        <v>2500000</v>
      </c>
      <c r="H65" s="517">
        <v>44984</v>
      </c>
      <c r="I65" s="515">
        <v>45016</v>
      </c>
      <c r="J65" s="519">
        <v>6.25</v>
      </c>
    </row>
    <row r="66" spans="2:10" ht="15">
      <c r="B66" s="510">
        <v>23</v>
      </c>
      <c r="C66" s="512" t="s">
        <v>1335</v>
      </c>
      <c r="D66" s="521">
        <v>789958</v>
      </c>
      <c r="E66" s="512" t="s">
        <v>1337</v>
      </c>
      <c r="F66" s="512">
        <v>60441502285</v>
      </c>
      <c r="G66" s="512">
        <v>9900000</v>
      </c>
      <c r="H66" s="517">
        <v>45000</v>
      </c>
      <c r="I66" s="515">
        <v>45016</v>
      </c>
      <c r="J66" s="519">
        <v>6.25</v>
      </c>
    </row>
    <row r="67" spans="2:10" ht="15">
      <c r="B67" s="510">
        <v>24</v>
      </c>
      <c r="C67" s="512" t="s">
        <v>1335</v>
      </c>
      <c r="D67" s="521">
        <v>789959</v>
      </c>
      <c r="E67" s="512" t="s">
        <v>1337</v>
      </c>
      <c r="F67" s="512">
        <v>60441502445</v>
      </c>
      <c r="G67" s="512">
        <v>9900000</v>
      </c>
      <c r="H67" s="517">
        <v>45000</v>
      </c>
      <c r="I67" s="515">
        <v>45016</v>
      </c>
      <c r="J67" s="519">
        <v>6.25</v>
      </c>
    </row>
    <row r="68" spans="2:10" ht="15">
      <c r="B68" s="510">
        <v>25</v>
      </c>
      <c r="C68" s="512" t="s">
        <v>1335</v>
      </c>
      <c r="D68" s="521">
        <v>789960</v>
      </c>
      <c r="E68" s="512" t="s">
        <v>1337</v>
      </c>
      <c r="F68" s="512">
        <v>60441502592</v>
      </c>
      <c r="G68" s="512">
        <v>2500000</v>
      </c>
      <c r="H68" s="517">
        <v>45000</v>
      </c>
      <c r="I68" s="515">
        <v>45016</v>
      </c>
      <c r="J68" s="519">
        <v>6.25</v>
      </c>
    </row>
    <row r="69" spans="2:10" ht="15">
      <c r="B69" s="510">
        <v>26</v>
      </c>
      <c r="C69" s="512" t="s">
        <v>1335</v>
      </c>
      <c r="D69" s="521">
        <v>789961</v>
      </c>
      <c r="E69" s="512" t="s">
        <v>1337</v>
      </c>
      <c r="F69" s="512">
        <v>60441502739</v>
      </c>
      <c r="G69" s="512">
        <v>2500000</v>
      </c>
      <c r="H69" s="517">
        <v>45000</v>
      </c>
      <c r="I69" s="515">
        <v>45016</v>
      </c>
      <c r="J69" s="519">
        <v>6.25</v>
      </c>
    </row>
    <row r="70" spans="2:10" ht="15">
      <c r="B70" s="510">
        <v>27</v>
      </c>
      <c r="C70" s="509" t="s">
        <v>1335</v>
      </c>
      <c r="D70" s="509">
        <v>388617</v>
      </c>
      <c r="E70" s="512" t="s">
        <v>1346</v>
      </c>
      <c r="F70" s="513" t="s">
        <v>1347</v>
      </c>
      <c r="G70" s="509">
        <v>9900000</v>
      </c>
      <c r="H70" s="513" t="s">
        <v>1348</v>
      </c>
      <c r="I70" s="515">
        <v>45016</v>
      </c>
      <c r="J70" s="511">
        <v>5.25</v>
      </c>
    </row>
    <row r="71" spans="2:10" ht="15">
      <c r="B71" s="510">
        <v>28</v>
      </c>
      <c r="C71" s="509" t="s">
        <v>1335</v>
      </c>
      <c r="D71" s="509">
        <v>389238</v>
      </c>
      <c r="E71" s="512" t="s">
        <v>1346</v>
      </c>
      <c r="F71" s="513" t="s">
        <v>1349</v>
      </c>
      <c r="G71" s="509">
        <v>9900000</v>
      </c>
      <c r="H71" s="513" t="s">
        <v>1350</v>
      </c>
      <c r="I71" s="515">
        <v>45016</v>
      </c>
      <c r="J71" s="511">
        <v>5.25</v>
      </c>
    </row>
    <row r="72" spans="2:10" ht="15">
      <c r="B72" s="510">
        <v>29</v>
      </c>
      <c r="C72" s="509" t="s">
        <v>1335</v>
      </c>
      <c r="D72" s="509">
        <v>389252</v>
      </c>
      <c r="E72" s="512" t="s">
        <v>1346</v>
      </c>
      <c r="F72" s="513" t="s">
        <v>1351</v>
      </c>
      <c r="G72" s="509">
        <v>9900000</v>
      </c>
      <c r="H72" s="513" t="s">
        <v>1352</v>
      </c>
      <c r="I72" s="515">
        <v>45016</v>
      </c>
      <c r="J72" s="511">
        <v>5.25</v>
      </c>
    </row>
    <row r="73" spans="2:10" ht="15">
      <c r="B73" s="510">
        <v>30</v>
      </c>
      <c r="C73" s="509" t="s">
        <v>1335</v>
      </c>
      <c r="D73" s="509">
        <v>388967</v>
      </c>
      <c r="E73" s="512" t="s">
        <v>1346</v>
      </c>
      <c r="F73" s="513" t="s">
        <v>1353</v>
      </c>
      <c r="G73" s="509">
        <v>9900000</v>
      </c>
      <c r="H73" s="509" t="s">
        <v>1354</v>
      </c>
      <c r="I73" s="515">
        <v>45016</v>
      </c>
      <c r="J73" s="511">
        <v>5.25</v>
      </c>
    </row>
    <row r="74" spans="2:10" ht="15">
      <c r="B74" s="510">
        <v>31</v>
      </c>
      <c r="C74" s="509" t="s">
        <v>1335</v>
      </c>
      <c r="D74" s="513" t="s">
        <v>1355</v>
      </c>
      <c r="E74" s="512" t="s">
        <v>1346</v>
      </c>
      <c r="F74" s="513" t="s">
        <v>1356</v>
      </c>
      <c r="G74" s="509">
        <v>9900000</v>
      </c>
      <c r="H74" s="509" t="s">
        <v>1357</v>
      </c>
      <c r="I74" s="515">
        <v>45016</v>
      </c>
      <c r="J74" s="511">
        <v>5.25</v>
      </c>
    </row>
    <row r="75" spans="2:10" ht="15">
      <c r="B75" s="510">
        <v>32</v>
      </c>
      <c r="C75" s="509" t="s">
        <v>1335</v>
      </c>
      <c r="D75" s="513" t="s">
        <v>1358</v>
      </c>
      <c r="E75" s="512" t="s">
        <v>1346</v>
      </c>
      <c r="F75" s="513" t="s">
        <v>1359</v>
      </c>
      <c r="G75" s="509">
        <v>9900000</v>
      </c>
      <c r="H75" s="509" t="s">
        <v>1360</v>
      </c>
      <c r="I75" s="515">
        <v>45016</v>
      </c>
      <c r="J75" s="511">
        <v>5.25</v>
      </c>
    </row>
    <row r="76" spans="2:10" ht="15">
      <c r="B76" s="510">
        <v>33</v>
      </c>
      <c r="C76" s="509" t="s">
        <v>1335</v>
      </c>
      <c r="D76" s="513" t="s">
        <v>1361</v>
      </c>
      <c r="E76" s="512" t="s">
        <v>1346</v>
      </c>
      <c r="F76" s="513" t="s">
        <v>1362</v>
      </c>
      <c r="G76" s="509">
        <v>9900000</v>
      </c>
      <c r="H76" s="513" t="s">
        <v>1363</v>
      </c>
      <c r="I76" s="515">
        <v>45016</v>
      </c>
      <c r="J76" s="511">
        <v>5.25</v>
      </c>
    </row>
    <row r="77" spans="2:10" ht="15">
      <c r="B77" s="510">
        <v>34</v>
      </c>
      <c r="C77" s="509" t="s">
        <v>1335</v>
      </c>
      <c r="D77" s="513" t="s">
        <v>1364</v>
      </c>
      <c r="E77" s="512" t="s">
        <v>1346</v>
      </c>
      <c r="F77" s="513" t="s">
        <v>1365</v>
      </c>
      <c r="G77" s="509">
        <v>9900000</v>
      </c>
      <c r="H77" s="509" t="s">
        <v>1363</v>
      </c>
      <c r="I77" s="515">
        <v>45016</v>
      </c>
      <c r="J77" s="511">
        <v>5.25</v>
      </c>
    </row>
    <row r="78" spans="2:10" ht="15">
      <c r="B78" s="510">
        <v>35</v>
      </c>
      <c r="C78" s="509" t="s">
        <v>1335</v>
      </c>
      <c r="D78" s="513" t="s">
        <v>1366</v>
      </c>
      <c r="E78" s="512" t="s">
        <v>1346</v>
      </c>
      <c r="F78" s="513" t="s">
        <v>1367</v>
      </c>
      <c r="G78" s="509">
        <v>9900000</v>
      </c>
      <c r="H78" s="509" t="s">
        <v>1368</v>
      </c>
      <c r="I78" s="515">
        <v>45016</v>
      </c>
      <c r="J78" s="511">
        <v>5.25</v>
      </c>
    </row>
    <row r="79" spans="2:10" ht="15">
      <c r="B79" s="510">
        <v>36</v>
      </c>
      <c r="C79" s="509" t="s">
        <v>1335</v>
      </c>
      <c r="D79" s="513" t="s">
        <v>1369</v>
      </c>
      <c r="E79" s="512" t="s">
        <v>1346</v>
      </c>
      <c r="F79" s="513" t="s">
        <v>1370</v>
      </c>
      <c r="G79" s="509">
        <v>9900000</v>
      </c>
      <c r="H79" s="509" t="s">
        <v>1371</v>
      </c>
      <c r="I79" s="515">
        <v>45016</v>
      </c>
      <c r="J79" s="511">
        <v>5.25</v>
      </c>
    </row>
    <row r="80" spans="2:10" ht="15">
      <c r="B80" s="510">
        <v>37</v>
      </c>
      <c r="C80" s="509" t="s">
        <v>1335</v>
      </c>
      <c r="D80" s="513" t="s">
        <v>1372</v>
      </c>
      <c r="E80" s="512" t="s">
        <v>1346</v>
      </c>
      <c r="F80" s="513" t="s">
        <v>1373</v>
      </c>
      <c r="G80" s="509">
        <v>9900000</v>
      </c>
      <c r="H80" s="509" t="s">
        <v>1374</v>
      </c>
      <c r="I80" s="515">
        <v>45016</v>
      </c>
      <c r="J80" s="511">
        <v>5.25</v>
      </c>
    </row>
    <row r="81" spans="2:10" ht="15">
      <c r="B81" s="510">
        <v>38</v>
      </c>
      <c r="C81" s="509" t="s">
        <v>1335</v>
      </c>
      <c r="D81" s="513" t="s">
        <v>1375</v>
      </c>
      <c r="E81" s="512" t="s">
        <v>1346</v>
      </c>
      <c r="F81" s="513" t="s">
        <v>1376</v>
      </c>
      <c r="G81" s="509">
        <v>9900000</v>
      </c>
      <c r="H81" s="509" t="s">
        <v>1377</v>
      </c>
      <c r="I81" s="515">
        <v>45016</v>
      </c>
      <c r="J81" s="511">
        <v>5.25</v>
      </c>
    </row>
    <row r="82" spans="2:10" ht="15">
      <c r="B82" s="510">
        <v>39</v>
      </c>
      <c r="C82" s="509" t="s">
        <v>1335</v>
      </c>
      <c r="D82" s="513" t="s">
        <v>1378</v>
      </c>
      <c r="E82" s="512" t="s">
        <v>1346</v>
      </c>
      <c r="F82" s="513" t="s">
        <v>1379</v>
      </c>
      <c r="G82" s="509">
        <v>9900000</v>
      </c>
      <c r="H82" s="509" t="s">
        <v>1374</v>
      </c>
      <c r="I82" s="515">
        <v>45016</v>
      </c>
      <c r="J82" s="511">
        <v>5.25</v>
      </c>
    </row>
    <row r="83" spans="2:10" ht="15">
      <c r="B83" s="510">
        <v>40</v>
      </c>
      <c r="C83" s="509" t="s">
        <v>1335</v>
      </c>
      <c r="D83" s="513" t="s">
        <v>1380</v>
      </c>
      <c r="E83" s="512" t="s">
        <v>1346</v>
      </c>
      <c r="F83" s="513" t="s">
        <v>1381</v>
      </c>
      <c r="G83" s="509">
        <v>9900000</v>
      </c>
      <c r="H83" s="509" t="s">
        <v>1382</v>
      </c>
      <c r="I83" s="515">
        <v>45016</v>
      </c>
      <c r="J83" s="511">
        <v>5.0999999999999996</v>
      </c>
    </row>
    <row r="84" spans="2:10" ht="15">
      <c r="B84" s="510">
        <v>41</v>
      </c>
      <c r="C84" s="509" t="s">
        <v>1335</v>
      </c>
      <c r="D84" s="513" t="s">
        <v>1383</v>
      </c>
      <c r="E84" s="512" t="s">
        <v>1346</v>
      </c>
      <c r="F84" s="513" t="s">
        <v>1384</v>
      </c>
      <c r="G84" s="509">
        <v>9900000</v>
      </c>
      <c r="H84" s="509" t="s">
        <v>1382</v>
      </c>
      <c r="I84" s="515">
        <v>45016</v>
      </c>
      <c r="J84" s="511">
        <v>5.0999999999999996</v>
      </c>
    </row>
    <row r="85" spans="2:10" ht="15">
      <c r="B85" s="510">
        <v>42</v>
      </c>
      <c r="C85" s="509" t="s">
        <v>1335</v>
      </c>
      <c r="D85" s="513" t="s">
        <v>1385</v>
      </c>
      <c r="E85" s="512" t="s">
        <v>1346</v>
      </c>
      <c r="F85" s="513" t="s">
        <v>1386</v>
      </c>
      <c r="G85" s="509">
        <v>9900000</v>
      </c>
      <c r="H85" s="509" t="s">
        <v>1387</v>
      </c>
      <c r="I85" s="515">
        <v>45016</v>
      </c>
      <c r="J85" s="511">
        <v>5.25</v>
      </c>
    </row>
    <row r="86" spans="2:10" ht="15">
      <c r="B86" s="510">
        <v>43</v>
      </c>
      <c r="C86" s="509" t="s">
        <v>1335</v>
      </c>
      <c r="D86" s="513" t="s">
        <v>1388</v>
      </c>
      <c r="E86" s="512" t="s">
        <v>1346</v>
      </c>
      <c r="F86" s="513" t="s">
        <v>1389</v>
      </c>
      <c r="G86" s="509">
        <v>9900000</v>
      </c>
      <c r="H86" s="509" t="s">
        <v>1390</v>
      </c>
      <c r="I86" s="515">
        <v>45016</v>
      </c>
      <c r="J86" s="511">
        <v>5.25</v>
      </c>
    </row>
    <row r="87" spans="2:10" ht="15">
      <c r="B87" s="510">
        <v>44</v>
      </c>
      <c r="C87" s="509" t="s">
        <v>1335</v>
      </c>
      <c r="D87" s="513" t="s">
        <v>1391</v>
      </c>
      <c r="E87" s="512" t="s">
        <v>1346</v>
      </c>
      <c r="F87" s="513" t="s">
        <v>1392</v>
      </c>
      <c r="G87" s="509">
        <v>9900000</v>
      </c>
      <c r="H87" s="509" t="s">
        <v>1393</v>
      </c>
      <c r="I87" s="515">
        <v>45016</v>
      </c>
      <c r="J87" s="511">
        <v>5.0999999999999996</v>
      </c>
    </row>
    <row r="88" spans="2:10" ht="15">
      <c r="B88" s="510">
        <v>45</v>
      </c>
      <c r="C88" s="509" t="s">
        <v>1394</v>
      </c>
      <c r="D88" s="513" t="s">
        <v>1395</v>
      </c>
      <c r="E88" s="512" t="s">
        <v>1346</v>
      </c>
      <c r="F88" s="513" t="s">
        <v>1396</v>
      </c>
      <c r="G88" s="509">
        <v>9900000</v>
      </c>
      <c r="H88" s="509" t="s">
        <v>1390</v>
      </c>
      <c r="I88" s="515">
        <v>45016</v>
      </c>
      <c r="J88" s="511">
        <v>5.25</v>
      </c>
    </row>
    <row r="89" spans="2:10" ht="15">
      <c r="B89" s="510">
        <v>46</v>
      </c>
      <c r="C89" s="509" t="s">
        <v>1394</v>
      </c>
      <c r="D89" s="513" t="s">
        <v>1397</v>
      </c>
      <c r="E89" s="512" t="s">
        <v>1346</v>
      </c>
      <c r="F89" s="513" t="s">
        <v>1398</v>
      </c>
      <c r="G89" s="509">
        <v>9900000</v>
      </c>
      <c r="H89" s="509" t="s">
        <v>1399</v>
      </c>
      <c r="I89" s="515">
        <v>45016</v>
      </c>
      <c r="J89" s="511">
        <v>5</v>
      </c>
    </row>
    <row r="90" spans="2:10" ht="15">
      <c r="B90" s="510">
        <v>47</v>
      </c>
      <c r="C90" s="509" t="s">
        <v>1335</v>
      </c>
      <c r="D90" s="513" t="s">
        <v>1400</v>
      </c>
      <c r="E90" s="512" t="s">
        <v>1346</v>
      </c>
      <c r="F90" s="513" t="s">
        <v>1401</v>
      </c>
      <c r="G90" s="509">
        <v>9900000</v>
      </c>
      <c r="H90" s="509" t="s">
        <v>1402</v>
      </c>
      <c r="I90" s="515">
        <v>45016</v>
      </c>
      <c r="J90" s="511">
        <v>5</v>
      </c>
    </row>
    <row r="91" spans="2:10" ht="15">
      <c r="B91" s="510">
        <v>48</v>
      </c>
      <c r="C91" s="509" t="s">
        <v>1335</v>
      </c>
      <c r="D91" s="513" t="s">
        <v>1403</v>
      </c>
      <c r="E91" s="512" t="s">
        <v>1346</v>
      </c>
      <c r="F91" s="513" t="s">
        <v>1404</v>
      </c>
      <c r="G91" s="509">
        <v>9900000</v>
      </c>
      <c r="H91" s="509" t="s">
        <v>1405</v>
      </c>
      <c r="I91" s="515">
        <v>45016</v>
      </c>
      <c r="J91" s="511">
        <v>5</v>
      </c>
    </row>
    <row r="92" spans="2:10" ht="15">
      <c r="B92" s="510">
        <v>49</v>
      </c>
      <c r="C92" s="509" t="s">
        <v>1335</v>
      </c>
      <c r="D92" s="513" t="s">
        <v>1406</v>
      </c>
      <c r="E92" s="512" t="s">
        <v>1346</v>
      </c>
      <c r="F92" s="513" t="s">
        <v>1407</v>
      </c>
      <c r="G92" s="509">
        <v>9900000</v>
      </c>
      <c r="H92" s="509" t="s">
        <v>1408</v>
      </c>
      <c r="I92" s="515">
        <v>45016</v>
      </c>
      <c r="J92" s="511">
        <v>5</v>
      </c>
    </row>
    <row r="93" spans="2:10" ht="15">
      <c r="B93" s="510">
        <v>50</v>
      </c>
      <c r="C93" s="509" t="s">
        <v>1335</v>
      </c>
      <c r="D93" s="513" t="s">
        <v>1409</v>
      </c>
      <c r="E93" s="512" t="s">
        <v>1346</v>
      </c>
      <c r="F93" s="513" t="s">
        <v>1410</v>
      </c>
      <c r="G93" s="509">
        <v>8000000</v>
      </c>
      <c r="H93" s="509" t="s">
        <v>1411</v>
      </c>
      <c r="I93" s="515">
        <v>45016</v>
      </c>
      <c r="J93" s="511">
        <v>5</v>
      </c>
    </row>
    <row r="94" spans="2:10" ht="15">
      <c r="B94" s="510">
        <v>51</v>
      </c>
      <c r="C94" s="509" t="s">
        <v>1335</v>
      </c>
      <c r="D94" s="513" t="s">
        <v>1412</v>
      </c>
      <c r="E94" s="512" t="s">
        <v>1346</v>
      </c>
      <c r="F94" s="513" t="s">
        <v>1413</v>
      </c>
      <c r="G94" s="509">
        <v>5000000</v>
      </c>
      <c r="H94" s="509" t="s">
        <v>1414</v>
      </c>
      <c r="I94" s="515">
        <v>45016</v>
      </c>
      <c r="J94" s="511">
        <v>5</v>
      </c>
    </row>
    <row r="95" spans="2:10" ht="15">
      <c r="B95" s="510">
        <v>52</v>
      </c>
      <c r="C95" s="509" t="s">
        <v>1335</v>
      </c>
      <c r="D95" s="513" t="s">
        <v>1415</v>
      </c>
      <c r="E95" s="512" t="s">
        <v>1346</v>
      </c>
      <c r="F95" s="513" t="s">
        <v>1416</v>
      </c>
      <c r="G95" s="509">
        <v>9900000</v>
      </c>
      <c r="H95" s="509" t="s">
        <v>1417</v>
      </c>
      <c r="I95" s="515">
        <v>45016</v>
      </c>
      <c r="J95" s="511">
        <v>5</v>
      </c>
    </row>
    <row r="96" spans="2:10" ht="15">
      <c r="B96" s="510">
        <v>53</v>
      </c>
      <c r="C96" s="509" t="s">
        <v>1335</v>
      </c>
      <c r="D96" s="513" t="s">
        <v>1418</v>
      </c>
      <c r="E96" s="512" t="s">
        <v>1346</v>
      </c>
      <c r="F96" s="513" t="s">
        <v>1419</v>
      </c>
      <c r="G96" s="509">
        <v>9900000</v>
      </c>
      <c r="H96" s="509" t="s">
        <v>1420</v>
      </c>
      <c r="I96" s="515">
        <v>45016</v>
      </c>
      <c r="J96" s="511">
        <v>5</v>
      </c>
    </row>
    <row r="97" spans="2:10" ht="15">
      <c r="B97" s="510">
        <v>54</v>
      </c>
      <c r="C97" s="509" t="s">
        <v>1335</v>
      </c>
      <c r="D97" s="513" t="s">
        <v>1421</v>
      </c>
      <c r="E97" s="512" t="s">
        <v>1346</v>
      </c>
      <c r="F97" s="513" t="s">
        <v>1422</v>
      </c>
      <c r="G97" s="509">
        <v>9900000</v>
      </c>
      <c r="H97" s="509" t="s">
        <v>1423</v>
      </c>
      <c r="I97" s="515">
        <v>45016</v>
      </c>
      <c r="J97" s="511">
        <v>5</v>
      </c>
    </row>
    <row r="98" spans="2:10" ht="15">
      <c r="B98" s="510">
        <v>55</v>
      </c>
      <c r="C98" s="509" t="s">
        <v>1335</v>
      </c>
      <c r="D98" s="513" t="s">
        <v>1424</v>
      </c>
      <c r="E98" s="512" t="s">
        <v>1346</v>
      </c>
      <c r="F98" s="513" t="s">
        <v>1425</v>
      </c>
      <c r="G98" s="509">
        <v>9900000</v>
      </c>
      <c r="H98" s="509" t="s">
        <v>1426</v>
      </c>
      <c r="I98" s="515">
        <v>45016</v>
      </c>
      <c r="J98" s="511">
        <v>5</v>
      </c>
    </row>
    <row r="99" spans="2:10" ht="15">
      <c r="B99" s="510">
        <v>56</v>
      </c>
      <c r="C99" s="509" t="s">
        <v>1335</v>
      </c>
      <c r="D99" s="513" t="s">
        <v>1427</v>
      </c>
      <c r="E99" s="512" t="s">
        <v>1346</v>
      </c>
      <c r="F99" s="513" t="s">
        <v>1428</v>
      </c>
      <c r="G99" s="509">
        <v>9900000</v>
      </c>
      <c r="H99" s="509" t="s">
        <v>1429</v>
      </c>
      <c r="I99" s="515">
        <v>45016</v>
      </c>
      <c r="J99" s="511">
        <v>5</v>
      </c>
    </row>
    <row r="100" spans="2:10" ht="15">
      <c r="B100" s="510">
        <v>57</v>
      </c>
      <c r="C100" s="509" t="s">
        <v>1335</v>
      </c>
      <c r="D100" s="513">
        <v>389121</v>
      </c>
      <c r="E100" s="512" t="s">
        <v>1346</v>
      </c>
      <c r="F100" s="513" t="s">
        <v>1430</v>
      </c>
      <c r="G100" s="509">
        <v>9900000</v>
      </c>
      <c r="H100" s="523" t="s">
        <v>1431</v>
      </c>
      <c r="I100" s="515">
        <v>45016</v>
      </c>
      <c r="J100" s="511">
        <v>5.25</v>
      </c>
    </row>
    <row r="101" spans="2:10" ht="15">
      <c r="B101" s="510">
        <v>58</v>
      </c>
      <c r="C101" s="509" t="s">
        <v>1394</v>
      </c>
      <c r="D101" s="513" t="s">
        <v>1432</v>
      </c>
      <c r="E101" s="512" t="s">
        <v>1346</v>
      </c>
      <c r="F101" s="513" t="s">
        <v>1433</v>
      </c>
      <c r="G101" s="509">
        <v>9900000</v>
      </c>
      <c r="H101" s="524">
        <v>44719</v>
      </c>
      <c r="I101" s="515">
        <v>45016</v>
      </c>
      <c r="J101" s="511">
        <v>5</v>
      </c>
    </row>
    <row r="102" spans="2:10" ht="15">
      <c r="B102" s="510">
        <v>59</v>
      </c>
      <c r="C102" s="509" t="s">
        <v>1394</v>
      </c>
      <c r="D102" s="509">
        <v>32029</v>
      </c>
      <c r="E102" s="512" t="s">
        <v>1346</v>
      </c>
      <c r="F102" s="513" t="s">
        <v>1434</v>
      </c>
      <c r="G102" s="509">
        <v>9900000</v>
      </c>
      <c r="H102" s="513" t="s">
        <v>1435</v>
      </c>
      <c r="I102" s="515">
        <v>45016</v>
      </c>
      <c r="J102" s="511">
        <v>5.4</v>
      </c>
    </row>
    <row r="103" spans="2:10" ht="15">
      <c r="B103" s="510">
        <v>60</v>
      </c>
      <c r="C103" s="509" t="s">
        <v>1394</v>
      </c>
      <c r="D103" s="509">
        <v>389955</v>
      </c>
      <c r="E103" s="512" t="s">
        <v>1346</v>
      </c>
      <c r="F103" s="513" t="s">
        <v>1436</v>
      </c>
      <c r="G103" s="509">
        <v>5000000</v>
      </c>
      <c r="H103" s="524">
        <v>44741</v>
      </c>
      <c r="I103" s="515">
        <v>45016</v>
      </c>
      <c r="J103" s="511">
        <v>5.4</v>
      </c>
    </row>
    <row r="104" spans="2:10" ht="15">
      <c r="B104" s="510">
        <v>61</v>
      </c>
      <c r="C104" s="509" t="s">
        <v>1394</v>
      </c>
      <c r="D104" s="509">
        <v>389956</v>
      </c>
      <c r="E104" s="512" t="s">
        <v>1346</v>
      </c>
      <c r="F104" s="513" t="s">
        <v>1437</v>
      </c>
      <c r="G104" s="509">
        <v>9900000</v>
      </c>
      <c r="H104" s="524">
        <v>44741</v>
      </c>
      <c r="I104" s="515">
        <v>45016</v>
      </c>
      <c r="J104" s="511">
        <v>5.4</v>
      </c>
    </row>
    <row r="105" spans="2:10" ht="15">
      <c r="B105" s="510">
        <v>62</v>
      </c>
      <c r="C105" s="509" t="s">
        <v>1394</v>
      </c>
      <c r="D105" s="509">
        <v>32361</v>
      </c>
      <c r="E105" s="512" t="s">
        <v>1346</v>
      </c>
      <c r="F105" s="513" t="s">
        <v>1438</v>
      </c>
      <c r="G105" s="509">
        <v>9900000</v>
      </c>
      <c r="H105" s="524">
        <v>44774</v>
      </c>
      <c r="I105" s="515">
        <v>45016</v>
      </c>
      <c r="J105" s="511">
        <v>5.4</v>
      </c>
    </row>
    <row r="106" spans="2:10" ht="15">
      <c r="B106" s="510">
        <v>63</v>
      </c>
      <c r="C106" s="509" t="s">
        <v>1394</v>
      </c>
      <c r="D106" s="509">
        <v>32377</v>
      </c>
      <c r="E106" s="512" t="s">
        <v>1346</v>
      </c>
      <c r="F106" s="513" t="s">
        <v>1439</v>
      </c>
      <c r="G106" s="509">
        <v>9900000</v>
      </c>
      <c r="H106" s="524">
        <v>44777</v>
      </c>
      <c r="I106" s="515">
        <v>45016</v>
      </c>
      <c r="J106" s="511">
        <v>5.4</v>
      </c>
    </row>
    <row r="107" spans="2:10" ht="15">
      <c r="B107" s="510">
        <v>64</v>
      </c>
      <c r="C107" s="509" t="s">
        <v>1335</v>
      </c>
      <c r="D107" s="509">
        <v>32313</v>
      </c>
      <c r="E107" s="512" t="s">
        <v>1346</v>
      </c>
      <c r="F107" s="513" t="s">
        <v>1440</v>
      </c>
      <c r="G107" s="509">
        <v>9900000</v>
      </c>
      <c r="H107" s="524">
        <v>44871</v>
      </c>
      <c r="I107" s="515">
        <v>45016</v>
      </c>
      <c r="J107" s="511">
        <v>5.75</v>
      </c>
    </row>
    <row r="108" spans="2:10" ht="15">
      <c r="B108" s="510">
        <v>65</v>
      </c>
      <c r="C108" s="509" t="s">
        <v>1394</v>
      </c>
      <c r="D108" s="509">
        <v>32365</v>
      </c>
      <c r="E108" s="512" t="s">
        <v>1346</v>
      </c>
      <c r="F108" s="513" t="s">
        <v>1441</v>
      </c>
      <c r="G108" s="509">
        <v>9900000</v>
      </c>
      <c r="H108" s="524">
        <v>44805</v>
      </c>
      <c r="I108" s="515">
        <v>45016</v>
      </c>
      <c r="J108" s="511">
        <v>5.4</v>
      </c>
    </row>
    <row r="109" spans="2:10" ht="15">
      <c r="B109" s="510">
        <v>66</v>
      </c>
      <c r="C109" s="509" t="s">
        <v>1394</v>
      </c>
      <c r="D109" s="509">
        <v>32336</v>
      </c>
      <c r="E109" s="512" t="s">
        <v>1346</v>
      </c>
      <c r="F109" s="513" t="s">
        <v>1442</v>
      </c>
      <c r="G109" s="509">
        <v>9900000</v>
      </c>
      <c r="H109" s="524">
        <v>44836</v>
      </c>
      <c r="I109" s="515">
        <v>45016</v>
      </c>
      <c r="J109" s="511">
        <v>5.5</v>
      </c>
    </row>
    <row r="110" spans="2:10" ht="15">
      <c r="B110" s="510">
        <v>67</v>
      </c>
      <c r="C110" s="509" t="s">
        <v>1394</v>
      </c>
      <c r="D110" s="509">
        <v>32192</v>
      </c>
      <c r="E110" s="512" t="s">
        <v>1346</v>
      </c>
      <c r="F110" s="513" t="s">
        <v>1443</v>
      </c>
      <c r="G110" s="509">
        <v>9900000</v>
      </c>
      <c r="H110" s="524">
        <v>44869</v>
      </c>
      <c r="I110" s="515">
        <v>45016</v>
      </c>
      <c r="J110" s="511">
        <v>5.75</v>
      </c>
    </row>
    <row r="111" spans="2:10" ht="15">
      <c r="B111" s="510">
        <v>68</v>
      </c>
      <c r="C111" s="509" t="s">
        <v>1394</v>
      </c>
      <c r="D111" s="509">
        <v>204006</v>
      </c>
      <c r="E111" s="512" t="s">
        <v>1346</v>
      </c>
      <c r="F111" s="513" t="s">
        <v>1444</v>
      </c>
      <c r="G111" s="509">
        <v>5000000</v>
      </c>
      <c r="H111" s="524">
        <v>44870</v>
      </c>
      <c r="I111" s="515">
        <v>45016</v>
      </c>
      <c r="J111" s="511">
        <v>5.75</v>
      </c>
    </row>
    <row r="112" spans="2:10" ht="15">
      <c r="B112" s="510">
        <v>69</v>
      </c>
      <c r="C112" s="509" t="s">
        <v>1394</v>
      </c>
      <c r="D112" s="509">
        <v>32258</v>
      </c>
      <c r="E112" s="512" t="s">
        <v>1346</v>
      </c>
      <c r="F112" s="513" t="s">
        <v>1445</v>
      </c>
      <c r="G112" s="509">
        <v>9900000</v>
      </c>
      <c r="H112" s="524">
        <v>44867</v>
      </c>
      <c r="I112" s="515">
        <v>45016</v>
      </c>
      <c r="J112" s="511">
        <v>5.75</v>
      </c>
    </row>
    <row r="113" spans="2:10" ht="15">
      <c r="B113" s="510">
        <v>70</v>
      </c>
      <c r="C113" s="509" t="s">
        <v>1335</v>
      </c>
      <c r="D113" s="509">
        <v>204135</v>
      </c>
      <c r="E113" s="512" t="s">
        <v>1346</v>
      </c>
      <c r="F113" s="513" t="s">
        <v>1446</v>
      </c>
      <c r="G113" s="509">
        <v>9900000</v>
      </c>
      <c r="H113" s="524">
        <v>44879</v>
      </c>
      <c r="I113" s="515">
        <v>45016</v>
      </c>
      <c r="J113" s="511">
        <v>5.75</v>
      </c>
    </row>
    <row r="114" spans="2:10" ht="15">
      <c r="B114" s="510">
        <v>71</v>
      </c>
      <c r="C114" s="509" t="s">
        <v>1335</v>
      </c>
      <c r="D114" s="509">
        <v>204064</v>
      </c>
      <c r="E114" s="512" t="s">
        <v>1346</v>
      </c>
      <c r="F114" s="513" t="s">
        <v>1447</v>
      </c>
      <c r="G114" s="509">
        <v>9900000</v>
      </c>
      <c r="H114" s="524">
        <v>44881</v>
      </c>
      <c r="I114" s="515">
        <v>45016</v>
      </c>
      <c r="J114" s="511">
        <v>5.75</v>
      </c>
    </row>
    <row r="115" spans="2:10" ht="15">
      <c r="B115" s="510">
        <v>72</v>
      </c>
      <c r="C115" s="509" t="s">
        <v>1335</v>
      </c>
      <c r="D115" s="509">
        <v>204171</v>
      </c>
      <c r="E115" s="512" t="s">
        <v>1346</v>
      </c>
      <c r="F115" s="513" t="s">
        <v>1448</v>
      </c>
      <c r="G115" s="509">
        <v>9900000</v>
      </c>
      <c r="H115" s="524">
        <v>44893</v>
      </c>
      <c r="I115" s="515">
        <v>45016</v>
      </c>
      <c r="J115" s="511">
        <v>5.75</v>
      </c>
    </row>
    <row r="116" spans="2:10" ht="15">
      <c r="B116" s="510">
        <v>73</v>
      </c>
      <c r="C116" s="509" t="s">
        <v>1394</v>
      </c>
      <c r="D116" s="509">
        <v>204337</v>
      </c>
      <c r="E116" s="512" t="s">
        <v>1346</v>
      </c>
      <c r="F116" s="513" t="s">
        <v>1449</v>
      </c>
      <c r="G116" s="509">
        <v>9900000</v>
      </c>
      <c r="H116" s="524">
        <v>44899</v>
      </c>
      <c r="I116" s="515">
        <v>45016</v>
      </c>
      <c r="J116" s="511">
        <v>5.75</v>
      </c>
    </row>
    <row r="117" spans="2:10" ht="15">
      <c r="B117" s="510">
        <v>74</v>
      </c>
      <c r="C117" s="509" t="s">
        <v>1450</v>
      </c>
      <c r="D117" s="509">
        <v>204921</v>
      </c>
      <c r="E117" s="512" t="s">
        <v>1346</v>
      </c>
      <c r="F117" s="513" t="s">
        <v>1451</v>
      </c>
      <c r="G117" s="509">
        <v>9900000</v>
      </c>
      <c r="H117" s="524">
        <v>44909</v>
      </c>
      <c r="I117" s="515">
        <v>45016</v>
      </c>
      <c r="J117" s="511">
        <v>5.75</v>
      </c>
    </row>
    <row r="118" spans="2:10" ht="15">
      <c r="B118" s="510">
        <v>75</v>
      </c>
      <c r="C118" s="509" t="s">
        <v>1450</v>
      </c>
      <c r="D118" s="509">
        <v>204442</v>
      </c>
      <c r="E118" s="512" t="s">
        <v>1346</v>
      </c>
      <c r="F118" s="513" t="s">
        <v>1452</v>
      </c>
      <c r="G118" s="509">
        <v>9900000</v>
      </c>
      <c r="H118" s="524">
        <v>44942</v>
      </c>
      <c r="I118" s="515">
        <v>45016</v>
      </c>
      <c r="J118" s="511">
        <v>6</v>
      </c>
    </row>
    <row r="119" spans="2:10" ht="15">
      <c r="B119" s="510">
        <v>76</v>
      </c>
      <c r="C119" s="509" t="s">
        <v>1450</v>
      </c>
      <c r="D119" s="509">
        <v>204507</v>
      </c>
      <c r="E119" s="512" t="s">
        <v>1346</v>
      </c>
      <c r="F119" s="513" t="s">
        <v>1453</v>
      </c>
      <c r="G119" s="509">
        <v>9900000</v>
      </c>
      <c r="H119" s="524">
        <v>44932</v>
      </c>
      <c r="I119" s="515">
        <v>45016</v>
      </c>
      <c r="J119" s="511">
        <v>6</v>
      </c>
    </row>
    <row r="120" spans="2:10" ht="15">
      <c r="B120" s="510">
        <v>77</v>
      </c>
      <c r="C120" s="509" t="s">
        <v>1450</v>
      </c>
      <c r="D120" s="509">
        <v>37608</v>
      </c>
      <c r="E120" s="512" t="s">
        <v>1346</v>
      </c>
      <c r="F120" s="513" t="s">
        <v>1454</v>
      </c>
      <c r="G120" s="509">
        <v>9900000</v>
      </c>
      <c r="H120" s="524">
        <v>44976</v>
      </c>
      <c r="I120" s="515">
        <v>45016</v>
      </c>
      <c r="J120" s="511">
        <v>6</v>
      </c>
    </row>
    <row r="121" spans="2:10" ht="15">
      <c r="B121" s="510">
        <v>78</v>
      </c>
      <c r="C121" s="509" t="s">
        <v>1450</v>
      </c>
      <c r="D121" s="509">
        <v>37606</v>
      </c>
      <c r="E121" s="512" t="s">
        <v>1346</v>
      </c>
      <c r="F121" s="513" t="s">
        <v>1455</v>
      </c>
      <c r="G121" s="509">
        <v>9900000</v>
      </c>
      <c r="H121" s="524">
        <v>44976</v>
      </c>
      <c r="I121" s="515">
        <v>45016</v>
      </c>
      <c r="J121" s="511">
        <v>6</v>
      </c>
    </row>
    <row r="122" spans="2:10" ht="15">
      <c r="B122" s="510">
        <v>79</v>
      </c>
      <c r="C122" s="509" t="s">
        <v>1450</v>
      </c>
      <c r="D122" s="509">
        <v>37584</v>
      </c>
      <c r="E122" s="512" t="s">
        <v>1346</v>
      </c>
      <c r="F122" s="513" t="s">
        <v>1456</v>
      </c>
      <c r="G122" s="509">
        <v>9900000</v>
      </c>
      <c r="H122" s="524">
        <v>44971</v>
      </c>
      <c r="I122" s="515">
        <v>45016</v>
      </c>
      <c r="J122" s="511">
        <v>6</v>
      </c>
    </row>
    <row r="123" spans="2:10" ht="15">
      <c r="B123" s="510">
        <v>80</v>
      </c>
      <c r="C123" s="509" t="s">
        <v>1450</v>
      </c>
      <c r="D123" s="509">
        <v>37617</v>
      </c>
      <c r="E123" s="512" t="s">
        <v>1346</v>
      </c>
      <c r="F123" s="513" t="s">
        <v>1457</v>
      </c>
      <c r="G123" s="509">
        <v>9900000</v>
      </c>
      <c r="H123" s="524">
        <v>44979</v>
      </c>
      <c r="I123" s="515">
        <v>45016</v>
      </c>
      <c r="J123" s="511">
        <v>6</v>
      </c>
    </row>
    <row r="124" spans="2:10" ht="15">
      <c r="B124" s="510">
        <v>81</v>
      </c>
      <c r="C124" s="509" t="s">
        <v>1450</v>
      </c>
      <c r="D124" s="509">
        <v>37306</v>
      </c>
      <c r="E124" s="512" t="s">
        <v>1346</v>
      </c>
      <c r="F124" s="513" t="s">
        <v>1458</v>
      </c>
      <c r="G124" s="509">
        <v>9900000</v>
      </c>
      <c r="H124" s="524">
        <v>44986</v>
      </c>
      <c r="I124" s="515">
        <v>45016</v>
      </c>
      <c r="J124" s="511">
        <v>6</v>
      </c>
    </row>
    <row r="125" spans="2:10" ht="15">
      <c r="B125" s="510">
        <v>82</v>
      </c>
      <c r="C125" s="509" t="s">
        <v>1450</v>
      </c>
      <c r="D125" s="509">
        <v>37308</v>
      </c>
      <c r="E125" s="512" t="s">
        <v>1346</v>
      </c>
      <c r="F125" s="513" t="s">
        <v>1459</v>
      </c>
      <c r="G125" s="509">
        <v>9900000</v>
      </c>
      <c r="H125" s="524">
        <v>44989</v>
      </c>
      <c r="I125" s="515">
        <v>45016</v>
      </c>
      <c r="J125" s="511">
        <v>6</v>
      </c>
    </row>
    <row r="126" spans="2:10" ht="15">
      <c r="B126" s="510">
        <v>83</v>
      </c>
      <c r="C126" s="509" t="s">
        <v>1450</v>
      </c>
      <c r="D126" s="509">
        <v>37304</v>
      </c>
      <c r="E126" s="512" t="s">
        <v>1346</v>
      </c>
      <c r="F126" s="513" t="s">
        <v>1460</v>
      </c>
      <c r="G126" s="509">
        <v>9900000</v>
      </c>
      <c r="H126" s="524">
        <v>44994</v>
      </c>
      <c r="I126" s="515">
        <v>45016</v>
      </c>
      <c r="J126" s="511">
        <v>6</v>
      </c>
    </row>
    <row r="127" spans="2:10" ht="15">
      <c r="B127" s="510">
        <v>84</v>
      </c>
      <c r="C127" s="509" t="s">
        <v>1450</v>
      </c>
      <c r="D127" s="509">
        <v>37302</v>
      </c>
      <c r="E127" s="512" t="s">
        <v>1346</v>
      </c>
      <c r="F127" s="513" t="s">
        <v>1461</v>
      </c>
      <c r="G127" s="509">
        <v>9900000</v>
      </c>
      <c r="H127" s="524">
        <v>44991</v>
      </c>
      <c r="I127" s="515">
        <v>45016</v>
      </c>
      <c r="J127" s="511">
        <v>6</v>
      </c>
    </row>
    <row r="128" spans="2:10" ht="15">
      <c r="B128" s="510">
        <v>85</v>
      </c>
      <c r="C128" s="509" t="s">
        <v>1450</v>
      </c>
      <c r="D128" s="509">
        <v>37364</v>
      </c>
      <c r="E128" s="512" t="s">
        <v>1346</v>
      </c>
      <c r="F128" s="513" t="s">
        <v>1462</v>
      </c>
      <c r="G128" s="509">
        <v>9900000</v>
      </c>
      <c r="H128" s="524">
        <v>45001</v>
      </c>
      <c r="I128" s="515">
        <v>45016</v>
      </c>
      <c r="J128" s="511">
        <v>6</v>
      </c>
    </row>
    <row r="129" spans="2:10" ht="15">
      <c r="B129" s="510">
        <v>86</v>
      </c>
      <c r="C129" s="509" t="s">
        <v>1450</v>
      </c>
      <c r="D129" s="509">
        <v>37149</v>
      </c>
      <c r="E129" s="512" t="s">
        <v>1346</v>
      </c>
      <c r="F129" s="513" t="s">
        <v>1463</v>
      </c>
      <c r="G129" s="509">
        <v>9900000</v>
      </c>
      <c r="H129" s="524">
        <v>45004</v>
      </c>
      <c r="I129" s="515">
        <v>45016</v>
      </c>
      <c r="J129" s="511">
        <v>6</v>
      </c>
    </row>
    <row r="130" spans="2:10" ht="15">
      <c r="B130" s="510">
        <v>87</v>
      </c>
      <c r="C130" s="509" t="s">
        <v>1450</v>
      </c>
      <c r="D130" s="509">
        <v>37227</v>
      </c>
      <c r="E130" s="512" t="s">
        <v>1346</v>
      </c>
      <c r="F130" s="513" t="s">
        <v>1464</v>
      </c>
      <c r="G130" s="509">
        <v>9900000</v>
      </c>
      <c r="H130" s="524">
        <v>45013</v>
      </c>
      <c r="I130" s="515">
        <v>45016</v>
      </c>
      <c r="J130" s="511">
        <v>6</v>
      </c>
    </row>
    <row r="131" spans="2:10" ht="15">
      <c r="B131" s="510">
        <v>88</v>
      </c>
      <c r="C131" s="509" t="s">
        <v>1450</v>
      </c>
      <c r="D131" s="509">
        <v>37363</v>
      </c>
      <c r="E131" s="512" t="s">
        <v>1346</v>
      </c>
      <c r="F131" s="513" t="s">
        <v>1465</v>
      </c>
      <c r="G131" s="509">
        <v>9900000</v>
      </c>
      <c r="H131" s="524">
        <v>45014</v>
      </c>
      <c r="I131" s="515">
        <v>45016</v>
      </c>
      <c r="J131" s="511">
        <v>6</v>
      </c>
    </row>
    <row r="132" spans="2:10" ht="15">
      <c r="B132" s="510"/>
      <c r="C132" s="510"/>
      <c r="D132" s="510"/>
      <c r="E132" s="510"/>
      <c r="F132" s="510"/>
      <c r="G132" s="514">
        <v>835700000</v>
      </c>
      <c r="H132" s="510"/>
      <c r="I132" s="510"/>
      <c r="J132" s="510"/>
    </row>
    <row r="133" spans="2:10">
      <c r="J133">
        <f>SUMPRODUCT(G44:G131,J44:J131)/G132</f>
        <v>5.6994256312073714</v>
      </c>
    </row>
    <row r="135" spans="2:10" ht="30">
      <c r="B135" s="530" t="s">
        <v>1326</v>
      </c>
      <c r="C135" s="526" t="s">
        <v>1327</v>
      </c>
      <c r="D135" s="531" t="s">
        <v>1328</v>
      </c>
      <c r="E135" s="530" t="s">
        <v>1329</v>
      </c>
      <c r="F135" s="526" t="s">
        <v>1330</v>
      </c>
      <c r="G135" s="526" t="s">
        <v>1331</v>
      </c>
      <c r="H135" s="531" t="s">
        <v>1332</v>
      </c>
      <c r="I135" s="531" t="s">
        <v>1333</v>
      </c>
      <c r="J135" s="532" t="s">
        <v>1334</v>
      </c>
    </row>
    <row r="136" spans="2:10" ht="15">
      <c r="B136" s="525">
        <v>1</v>
      </c>
      <c r="C136" s="528" t="s">
        <v>1335</v>
      </c>
      <c r="D136" s="528">
        <v>789993</v>
      </c>
      <c r="E136" s="528" t="s">
        <v>1466</v>
      </c>
      <c r="F136" s="529" t="s">
        <v>1467</v>
      </c>
      <c r="G136" s="528">
        <v>2500000</v>
      </c>
      <c r="H136" s="533">
        <v>45021</v>
      </c>
      <c r="I136" s="527">
        <v>45382</v>
      </c>
      <c r="J136" s="534">
        <v>6.25</v>
      </c>
    </row>
    <row r="137" spans="2:10" ht="15">
      <c r="B137" s="525">
        <v>2</v>
      </c>
      <c r="C137" s="528" t="s">
        <v>1335</v>
      </c>
      <c r="D137" s="528">
        <v>789990</v>
      </c>
      <c r="E137" s="528" t="s">
        <v>1466</v>
      </c>
      <c r="F137" s="529" t="s">
        <v>1468</v>
      </c>
      <c r="G137" s="528">
        <v>9900000</v>
      </c>
      <c r="H137" s="533">
        <v>45021</v>
      </c>
      <c r="I137" s="527">
        <v>45382</v>
      </c>
      <c r="J137" s="534">
        <v>6.25</v>
      </c>
    </row>
    <row r="138" spans="2:10" ht="15">
      <c r="B138" s="525">
        <v>3</v>
      </c>
      <c r="C138" s="528" t="s">
        <v>1335</v>
      </c>
      <c r="D138" s="528">
        <v>789991</v>
      </c>
      <c r="E138" s="528" t="s">
        <v>1466</v>
      </c>
      <c r="F138" s="529" t="s">
        <v>1469</v>
      </c>
      <c r="G138" s="528">
        <v>2500000</v>
      </c>
      <c r="H138" s="533">
        <v>45021</v>
      </c>
      <c r="I138" s="527">
        <v>45382</v>
      </c>
      <c r="J138" s="534">
        <v>6.25</v>
      </c>
    </row>
    <row r="139" spans="2:10" ht="15">
      <c r="B139" s="525">
        <v>4</v>
      </c>
      <c r="C139" s="528" t="s">
        <v>1335</v>
      </c>
      <c r="D139" s="528">
        <v>789992</v>
      </c>
      <c r="E139" s="528" t="s">
        <v>1466</v>
      </c>
      <c r="F139" s="528">
        <v>60443383139</v>
      </c>
      <c r="G139" s="528">
        <v>2500000</v>
      </c>
      <c r="H139" s="533">
        <v>45021</v>
      </c>
      <c r="I139" s="527">
        <v>45382</v>
      </c>
      <c r="J139" s="534">
        <v>6.25</v>
      </c>
    </row>
    <row r="140" spans="2:10" ht="15">
      <c r="B140" s="525">
        <v>5</v>
      </c>
      <c r="C140" s="528" t="s">
        <v>1335</v>
      </c>
      <c r="D140" s="528">
        <v>790000</v>
      </c>
      <c r="E140" s="528" t="s">
        <v>1466</v>
      </c>
      <c r="F140" s="529" t="s">
        <v>1470</v>
      </c>
      <c r="G140" s="528">
        <v>2500000</v>
      </c>
      <c r="H140" s="533">
        <v>45029</v>
      </c>
      <c r="I140" s="527">
        <v>45382</v>
      </c>
      <c r="J140" s="534">
        <v>6.25</v>
      </c>
    </row>
    <row r="141" spans="2:10" ht="15">
      <c r="B141" s="525">
        <v>6</v>
      </c>
      <c r="C141" s="528" t="s">
        <v>1335</v>
      </c>
      <c r="D141" s="528">
        <v>789998</v>
      </c>
      <c r="E141" s="528" t="s">
        <v>1466</v>
      </c>
      <c r="F141" s="529" t="s">
        <v>1471</v>
      </c>
      <c r="G141" s="528">
        <v>2500000</v>
      </c>
      <c r="H141" s="533">
        <v>45029</v>
      </c>
      <c r="I141" s="527">
        <v>45382</v>
      </c>
      <c r="J141" s="534">
        <v>6.25</v>
      </c>
    </row>
    <row r="142" spans="2:10" ht="15">
      <c r="B142" s="525">
        <v>7</v>
      </c>
      <c r="C142" s="528" t="s">
        <v>1335</v>
      </c>
      <c r="D142" s="528">
        <v>789999</v>
      </c>
      <c r="E142" s="528" t="s">
        <v>1466</v>
      </c>
      <c r="F142" s="529" t="s">
        <v>1472</v>
      </c>
      <c r="G142" s="528">
        <v>2500000</v>
      </c>
      <c r="H142" s="533">
        <v>45029</v>
      </c>
      <c r="I142" s="527">
        <v>45382</v>
      </c>
      <c r="J142" s="534">
        <v>6.25</v>
      </c>
    </row>
    <row r="143" spans="2:10" ht="15">
      <c r="B143" s="525">
        <v>8</v>
      </c>
      <c r="C143" s="528" t="s">
        <v>1335</v>
      </c>
      <c r="D143" s="528">
        <v>789803</v>
      </c>
      <c r="E143" s="528" t="s">
        <v>1466</v>
      </c>
      <c r="F143" s="528">
        <v>60443383195</v>
      </c>
      <c r="G143" s="528">
        <v>2500000</v>
      </c>
      <c r="H143" s="533">
        <v>45030</v>
      </c>
      <c r="I143" s="527">
        <v>45382</v>
      </c>
      <c r="J143" s="534">
        <v>6.25</v>
      </c>
    </row>
    <row r="144" spans="2:10" ht="15">
      <c r="B144" s="525">
        <v>9</v>
      </c>
      <c r="C144" s="528" t="s">
        <v>1335</v>
      </c>
      <c r="D144" s="528">
        <v>789875</v>
      </c>
      <c r="E144" s="528" t="s">
        <v>1466</v>
      </c>
      <c r="F144" s="528">
        <v>60445698024</v>
      </c>
      <c r="G144" s="528">
        <v>100100000</v>
      </c>
      <c r="H144" s="533">
        <v>45050</v>
      </c>
      <c r="I144" s="527">
        <v>45382</v>
      </c>
      <c r="J144" s="535">
        <v>7.55</v>
      </c>
    </row>
    <row r="145" spans="2:10" ht="15">
      <c r="B145" s="525">
        <v>10</v>
      </c>
      <c r="C145" s="528" t="s">
        <v>1335</v>
      </c>
      <c r="D145" s="528">
        <v>789876</v>
      </c>
      <c r="E145" s="528" t="s">
        <v>1466</v>
      </c>
      <c r="F145" s="528">
        <v>60445637355</v>
      </c>
      <c r="G145" s="528">
        <v>9900000</v>
      </c>
      <c r="H145" s="533">
        <v>45050</v>
      </c>
      <c r="I145" s="527">
        <v>45382</v>
      </c>
      <c r="J145" s="535">
        <v>6.35</v>
      </c>
    </row>
    <row r="146" spans="2:10" ht="15">
      <c r="B146" s="525">
        <v>11</v>
      </c>
      <c r="C146" s="528" t="s">
        <v>1335</v>
      </c>
      <c r="D146" s="528">
        <v>789877</v>
      </c>
      <c r="E146" s="528" t="s">
        <v>1466</v>
      </c>
      <c r="F146" s="528">
        <v>60445637413</v>
      </c>
      <c r="G146" s="528">
        <v>9900000</v>
      </c>
      <c r="H146" s="533">
        <v>45050</v>
      </c>
      <c r="I146" s="527">
        <v>45382</v>
      </c>
      <c r="J146" s="535">
        <v>6.35</v>
      </c>
    </row>
    <row r="147" spans="2:10" ht="15">
      <c r="B147" s="525">
        <v>12</v>
      </c>
      <c r="C147" s="528" t="s">
        <v>1335</v>
      </c>
      <c r="D147" s="528">
        <v>789878</v>
      </c>
      <c r="E147" s="528" t="s">
        <v>1466</v>
      </c>
      <c r="F147" s="528">
        <v>60445637468</v>
      </c>
      <c r="G147" s="528">
        <v>9900000</v>
      </c>
      <c r="H147" s="533">
        <v>45050</v>
      </c>
      <c r="I147" s="527">
        <v>45382</v>
      </c>
      <c r="J147" s="535">
        <v>6.35</v>
      </c>
    </row>
    <row r="148" spans="2:10" ht="15">
      <c r="B148" s="525">
        <v>13</v>
      </c>
      <c r="C148" s="528" t="s">
        <v>1335</v>
      </c>
      <c r="D148" s="528">
        <v>789879</v>
      </c>
      <c r="E148" s="528" t="s">
        <v>1466</v>
      </c>
      <c r="F148" s="528">
        <v>60445637300</v>
      </c>
      <c r="G148" s="528">
        <v>2500000</v>
      </c>
      <c r="H148" s="533">
        <v>45050</v>
      </c>
      <c r="I148" s="527">
        <v>45382</v>
      </c>
      <c r="J148" s="535">
        <v>6.35</v>
      </c>
    </row>
    <row r="149" spans="2:10" ht="15">
      <c r="B149" s="525">
        <v>14</v>
      </c>
      <c r="C149" s="528" t="s">
        <v>1335</v>
      </c>
      <c r="D149" s="529" t="s">
        <v>1473</v>
      </c>
      <c r="E149" s="528" t="s">
        <v>1466</v>
      </c>
      <c r="F149" s="528">
        <v>60446903338</v>
      </c>
      <c r="G149" s="528">
        <v>2500000</v>
      </c>
      <c r="H149" s="533">
        <v>45065</v>
      </c>
      <c r="I149" s="527">
        <v>45382</v>
      </c>
      <c r="J149" s="535">
        <v>6.35</v>
      </c>
    </row>
    <row r="150" spans="2:10" ht="15">
      <c r="B150" s="525">
        <v>15</v>
      </c>
      <c r="C150" s="528" t="s">
        <v>1335</v>
      </c>
      <c r="D150" s="529" t="s">
        <v>1474</v>
      </c>
      <c r="E150" s="528" t="s">
        <v>1466</v>
      </c>
      <c r="F150" s="528">
        <v>60446903463</v>
      </c>
      <c r="G150" s="528">
        <v>2500000</v>
      </c>
      <c r="H150" s="533">
        <v>45065</v>
      </c>
      <c r="I150" s="527">
        <v>45382</v>
      </c>
      <c r="J150" s="535">
        <v>6.35</v>
      </c>
    </row>
    <row r="151" spans="2:10" ht="15">
      <c r="B151" s="525">
        <v>16</v>
      </c>
      <c r="C151" s="528" t="s">
        <v>1335</v>
      </c>
      <c r="D151" s="529" t="s">
        <v>1475</v>
      </c>
      <c r="E151" s="528" t="s">
        <v>1466</v>
      </c>
      <c r="F151" s="528">
        <v>60447670298</v>
      </c>
      <c r="G151" s="528">
        <v>2500000</v>
      </c>
      <c r="H151" s="533">
        <v>45097</v>
      </c>
      <c r="I151" s="527">
        <v>45382</v>
      </c>
      <c r="J151" s="535">
        <v>6.35</v>
      </c>
    </row>
    <row r="152" spans="2:10" ht="15">
      <c r="B152" s="525">
        <v>17</v>
      </c>
      <c r="C152" s="528" t="s">
        <v>1335</v>
      </c>
      <c r="D152" s="529" t="s">
        <v>1476</v>
      </c>
      <c r="E152" s="528" t="s">
        <v>1466</v>
      </c>
      <c r="F152" s="528">
        <v>60447670469</v>
      </c>
      <c r="G152" s="528">
        <v>2500000</v>
      </c>
      <c r="H152" s="533">
        <v>45097</v>
      </c>
      <c r="I152" s="527">
        <v>45382</v>
      </c>
      <c r="J152" s="535">
        <v>6.35</v>
      </c>
    </row>
    <row r="153" spans="2:10" ht="15">
      <c r="B153" s="525">
        <v>18</v>
      </c>
      <c r="C153" s="528" t="s">
        <v>1335</v>
      </c>
      <c r="D153" s="529" t="s">
        <v>1477</v>
      </c>
      <c r="E153" s="528" t="s">
        <v>1466</v>
      </c>
      <c r="F153" s="529" t="s">
        <v>1478</v>
      </c>
      <c r="G153" s="528">
        <v>2500000</v>
      </c>
      <c r="H153" s="533">
        <v>45210</v>
      </c>
      <c r="I153" s="527">
        <v>45382</v>
      </c>
      <c r="J153" s="535">
        <v>7</v>
      </c>
    </row>
    <row r="154" spans="2:10" ht="15">
      <c r="B154" s="525">
        <v>19</v>
      </c>
      <c r="C154" s="528" t="s">
        <v>1335</v>
      </c>
      <c r="D154" s="529" t="s">
        <v>1479</v>
      </c>
      <c r="E154" s="528" t="s">
        <v>1466</v>
      </c>
      <c r="F154" s="528">
        <v>60463958899</v>
      </c>
      <c r="G154" s="528">
        <v>2500000</v>
      </c>
      <c r="H154" s="533">
        <v>45217</v>
      </c>
      <c r="I154" s="527">
        <v>45382</v>
      </c>
      <c r="J154" s="535">
        <v>7</v>
      </c>
    </row>
    <row r="155" spans="2:10" ht="15">
      <c r="B155" s="525">
        <v>20</v>
      </c>
      <c r="C155" s="528" t="s">
        <v>1335</v>
      </c>
      <c r="D155" s="529" t="s">
        <v>1480</v>
      </c>
      <c r="E155" s="528" t="s">
        <v>1466</v>
      </c>
      <c r="F155" s="528">
        <v>60463959609</v>
      </c>
      <c r="G155" s="528">
        <v>2500000</v>
      </c>
      <c r="H155" s="533">
        <v>45217</v>
      </c>
      <c r="I155" s="527">
        <v>45382</v>
      </c>
      <c r="J155" s="535">
        <v>7</v>
      </c>
    </row>
    <row r="156" spans="2:10" ht="15">
      <c r="B156" s="525">
        <v>21</v>
      </c>
      <c r="C156" s="528" t="s">
        <v>1335</v>
      </c>
      <c r="D156" s="529" t="s">
        <v>1481</v>
      </c>
      <c r="E156" s="528" t="s">
        <v>1466</v>
      </c>
      <c r="F156" s="528">
        <v>60463960386</v>
      </c>
      <c r="G156" s="528">
        <v>2500000</v>
      </c>
      <c r="H156" s="533">
        <v>45217</v>
      </c>
      <c r="I156" s="527">
        <v>45382</v>
      </c>
      <c r="J156" s="535">
        <v>7</v>
      </c>
    </row>
    <row r="157" spans="2:10" ht="15">
      <c r="B157" s="525">
        <v>22</v>
      </c>
      <c r="C157" s="528" t="s">
        <v>1335</v>
      </c>
      <c r="D157" s="529" t="s">
        <v>1482</v>
      </c>
      <c r="E157" s="528" t="s">
        <v>1466</v>
      </c>
      <c r="F157" s="528">
        <v>60463961641</v>
      </c>
      <c r="G157" s="528">
        <v>2500000</v>
      </c>
      <c r="H157" s="533">
        <v>45217</v>
      </c>
      <c r="I157" s="527">
        <v>45382</v>
      </c>
      <c r="J157" s="535">
        <v>7</v>
      </c>
    </row>
    <row r="158" spans="2:10" ht="15">
      <c r="B158" s="525">
        <v>23</v>
      </c>
      <c r="C158" s="528" t="s">
        <v>1335</v>
      </c>
      <c r="D158" s="529" t="s">
        <v>1483</v>
      </c>
      <c r="E158" s="528" t="s">
        <v>1466</v>
      </c>
      <c r="F158" s="528">
        <v>60466912476</v>
      </c>
      <c r="G158" s="528">
        <v>2500000</v>
      </c>
      <c r="H158" s="533">
        <v>45247</v>
      </c>
      <c r="I158" s="536">
        <v>45382</v>
      </c>
      <c r="J158" s="535">
        <v>7</v>
      </c>
    </row>
    <row r="159" spans="2:10" ht="15">
      <c r="B159" s="525">
        <v>24</v>
      </c>
      <c r="C159" s="528" t="s">
        <v>1335</v>
      </c>
      <c r="D159" s="529" t="s">
        <v>1484</v>
      </c>
      <c r="E159" s="528" t="s">
        <v>1466</v>
      </c>
      <c r="F159" s="528">
        <v>60472071737</v>
      </c>
      <c r="G159" s="528">
        <v>102000000</v>
      </c>
      <c r="H159" s="533">
        <v>45278</v>
      </c>
      <c r="I159" s="536">
        <v>45382</v>
      </c>
      <c r="J159" s="535">
        <v>7.6</v>
      </c>
    </row>
    <row r="160" spans="2:10" ht="15">
      <c r="B160" s="525">
        <v>25</v>
      </c>
      <c r="C160" s="528" t="s">
        <v>1335</v>
      </c>
      <c r="D160" s="529" t="s">
        <v>1485</v>
      </c>
      <c r="E160" s="528" t="s">
        <v>1466</v>
      </c>
      <c r="F160" s="528">
        <v>60472369960</v>
      </c>
      <c r="G160" s="528">
        <v>2500000</v>
      </c>
      <c r="H160" s="533">
        <v>45280</v>
      </c>
      <c r="I160" s="536">
        <v>45382</v>
      </c>
      <c r="J160" s="535">
        <v>7</v>
      </c>
    </row>
    <row r="161" spans="2:10" ht="15">
      <c r="B161" s="525">
        <v>26</v>
      </c>
      <c r="C161" s="528" t="s">
        <v>1335</v>
      </c>
      <c r="D161" s="529" t="s">
        <v>1486</v>
      </c>
      <c r="E161" s="528" t="s">
        <v>1466</v>
      </c>
      <c r="F161" s="528">
        <v>60472370318</v>
      </c>
      <c r="G161" s="528">
        <v>2500000</v>
      </c>
      <c r="H161" s="533">
        <v>45280</v>
      </c>
      <c r="I161" s="536">
        <v>45382</v>
      </c>
      <c r="J161" s="535">
        <v>7</v>
      </c>
    </row>
    <row r="162" spans="2:10" ht="15">
      <c r="B162" s="525">
        <v>27</v>
      </c>
      <c r="C162" s="528" t="s">
        <v>1335</v>
      </c>
      <c r="D162" s="529" t="s">
        <v>1487</v>
      </c>
      <c r="E162" s="528" t="s">
        <v>1466</v>
      </c>
      <c r="F162" s="528">
        <v>60475316813</v>
      </c>
      <c r="G162" s="528">
        <v>2500000</v>
      </c>
      <c r="H162" s="533">
        <v>45300</v>
      </c>
      <c r="I162" s="536">
        <v>45382</v>
      </c>
      <c r="J162" s="535">
        <v>7</v>
      </c>
    </row>
    <row r="163" spans="2:10" ht="15">
      <c r="B163" s="525">
        <v>28</v>
      </c>
      <c r="C163" s="528" t="s">
        <v>1335</v>
      </c>
      <c r="D163" s="529" t="s">
        <v>1488</v>
      </c>
      <c r="E163" s="528" t="s">
        <v>1466</v>
      </c>
      <c r="F163" s="528">
        <v>60475598444</v>
      </c>
      <c r="G163" s="528">
        <v>2500000</v>
      </c>
      <c r="H163" s="533">
        <v>45301</v>
      </c>
      <c r="I163" s="536">
        <v>45382</v>
      </c>
      <c r="J163" s="535">
        <v>7</v>
      </c>
    </row>
    <row r="164" spans="2:10" ht="15">
      <c r="B164" s="525">
        <v>29</v>
      </c>
      <c r="C164" s="528" t="s">
        <v>1335</v>
      </c>
      <c r="D164" s="529" t="s">
        <v>1489</v>
      </c>
      <c r="E164" s="528" t="s">
        <v>1466</v>
      </c>
      <c r="F164" s="528">
        <v>60478452741</v>
      </c>
      <c r="G164" s="528">
        <v>2500000</v>
      </c>
      <c r="H164" s="533">
        <v>45324</v>
      </c>
      <c r="I164" s="536">
        <v>45382</v>
      </c>
      <c r="J164" s="535">
        <v>7</v>
      </c>
    </row>
    <row r="165" spans="2:10" ht="15">
      <c r="B165" s="525">
        <v>30</v>
      </c>
      <c r="C165" s="528" t="s">
        <v>1335</v>
      </c>
      <c r="D165" s="529">
        <v>447337</v>
      </c>
      <c r="E165" s="528" t="s">
        <v>1466</v>
      </c>
      <c r="F165" s="528">
        <v>60479450742</v>
      </c>
      <c r="G165" s="528">
        <v>2500000</v>
      </c>
      <c r="H165" s="533">
        <v>45331</v>
      </c>
      <c r="I165" s="536">
        <v>45382</v>
      </c>
      <c r="J165" s="535">
        <v>7</v>
      </c>
    </row>
    <row r="166" spans="2:10" ht="15">
      <c r="B166" s="525">
        <v>31</v>
      </c>
      <c r="C166" s="528" t="s">
        <v>1335</v>
      </c>
      <c r="D166" s="529">
        <v>447338</v>
      </c>
      <c r="E166" s="528" t="s">
        <v>1466</v>
      </c>
      <c r="F166" s="528">
        <v>60479450913</v>
      </c>
      <c r="G166" s="528">
        <v>2500000</v>
      </c>
      <c r="H166" s="533">
        <v>45331</v>
      </c>
      <c r="I166" s="536">
        <v>45382</v>
      </c>
      <c r="J166" s="535">
        <v>7</v>
      </c>
    </row>
    <row r="167" spans="2:10" ht="15">
      <c r="B167" s="525">
        <v>32</v>
      </c>
      <c r="C167" s="528" t="s">
        <v>1335</v>
      </c>
      <c r="D167" s="529">
        <v>447360</v>
      </c>
      <c r="E167" s="528" t="s">
        <v>1466</v>
      </c>
      <c r="F167" s="528">
        <v>60481204237</v>
      </c>
      <c r="G167" s="528">
        <v>9900000</v>
      </c>
      <c r="H167" s="533">
        <v>45344</v>
      </c>
      <c r="I167" s="536">
        <v>45382</v>
      </c>
      <c r="J167" s="535">
        <v>7</v>
      </c>
    </row>
    <row r="168" spans="2:10" ht="15">
      <c r="B168" s="525">
        <v>33</v>
      </c>
      <c r="C168" s="528" t="s">
        <v>1335</v>
      </c>
      <c r="D168" s="529">
        <v>447369</v>
      </c>
      <c r="E168" s="528" t="s">
        <v>1466</v>
      </c>
      <c r="F168" s="528">
        <v>60481755558</v>
      </c>
      <c r="G168" s="528">
        <v>2500000</v>
      </c>
      <c r="H168" s="533">
        <v>45349</v>
      </c>
      <c r="I168" s="536">
        <v>45382</v>
      </c>
      <c r="J168" s="535">
        <v>7</v>
      </c>
    </row>
    <row r="169" spans="2:10" ht="15">
      <c r="B169" s="538">
        <v>34</v>
      </c>
      <c r="C169" s="539" t="s">
        <v>1335</v>
      </c>
      <c r="D169" s="540">
        <v>447408</v>
      </c>
      <c r="E169" s="539" t="s">
        <v>1466</v>
      </c>
      <c r="F169" s="539">
        <v>60484749179</v>
      </c>
      <c r="G169" s="539">
        <v>15000000</v>
      </c>
      <c r="H169" s="541">
        <v>45366</v>
      </c>
      <c r="I169" s="542">
        <v>45382</v>
      </c>
      <c r="J169" s="543">
        <v>7</v>
      </c>
    </row>
    <row r="170" spans="2:10" ht="15">
      <c r="B170" s="525">
        <v>35</v>
      </c>
      <c r="C170" s="528" t="s">
        <v>1335</v>
      </c>
      <c r="D170" s="529">
        <v>447407</v>
      </c>
      <c r="E170" s="528" t="s">
        <v>1466</v>
      </c>
      <c r="F170" s="528">
        <v>60484148755</v>
      </c>
      <c r="G170" s="528">
        <v>9900000</v>
      </c>
      <c r="H170" s="533">
        <v>45366</v>
      </c>
      <c r="I170" s="536">
        <v>45382</v>
      </c>
      <c r="J170" s="535">
        <v>7</v>
      </c>
    </row>
    <row r="171" spans="2:10" ht="15">
      <c r="B171" s="537">
        <v>36</v>
      </c>
      <c r="C171" s="544" t="s">
        <v>1394</v>
      </c>
      <c r="D171" s="545" t="s">
        <v>1432</v>
      </c>
      <c r="E171" s="528" t="s">
        <v>1490</v>
      </c>
      <c r="F171" s="545" t="s">
        <v>1433</v>
      </c>
      <c r="G171" s="544">
        <v>9900000</v>
      </c>
      <c r="H171" s="546">
        <v>44719</v>
      </c>
      <c r="I171" s="536">
        <v>45382</v>
      </c>
      <c r="J171" s="547">
        <v>5</v>
      </c>
    </row>
    <row r="172" spans="2:10" ht="15">
      <c r="B172" s="525">
        <v>37</v>
      </c>
      <c r="C172" s="544" t="s">
        <v>1394</v>
      </c>
      <c r="D172" s="544">
        <v>32029</v>
      </c>
      <c r="E172" s="528" t="s">
        <v>1490</v>
      </c>
      <c r="F172" s="545" t="s">
        <v>1434</v>
      </c>
      <c r="G172" s="544">
        <v>9900000</v>
      </c>
      <c r="H172" s="545" t="s">
        <v>1435</v>
      </c>
      <c r="I172" s="536">
        <v>45382</v>
      </c>
      <c r="J172" s="547">
        <v>5.4</v>
      </c>
    </row>
    <row r="173" spans="2:10" ht="15">
      <c r="B173" s="548">
        <v>38</v>
      </c>
      <c r="C173" s="549" t="s">
        <v>1394</v>
      </c>
      <c r="D173" s="549">
        <v>389955</v>
      </c>
      <c r="E173" s="550" t="s">
        <v>1490</v>
      </c>
      <c r="F173" s="551" t="s">
        <v>1436</v>
      </c>
      <c r="G173" s="549">
        <v>5000000</v>
      </c>
      <c r="H173" s="552">
        <v>44741</v>
      </c>
      <c r="I173" s="553">
        <v>45382</v>
      </c>
      <c r="J173" s="554">
        <v>5.4</v>
      </c>
    </row>
    <row r="174" spans="2:10" ht="15">
      <c r="B174" s="525">
        <v>39</v>
      </c>
      <c r="C174" s="544" t="s">
        <v>1394</v>
      </c>
      <c r="D174" s="544">
        <v>389956</v>
      </c>
      <c r="E174" s="528" t="s">
        <v>1490</v>
      </c>
      <c r="F174" s="545" t="s">
        <v>1437</v>
      </c>
      <c r="G174" s="544">
        <v>9900000</v>
      </c>
      <c r="H174" s="546">
        <v>44741</v>
      </c>
      <c r="I174" s="536">
        <v>45382</v>
      </c>
      <c r="J174" s="547">
        <v>5.4</v>
      </c>
    </row>
    <row r="175" spans="2:10" ht="15">
      <c r="B175" s="525">
        <v>40</v>
      </c>
      <c r="C175" s="544" t="s">
        <v>1394</v>
      </c>
      <c r="D175" s="544">
        <v>32361</v>
      </c>
      <c r="E175" s="528" t="s">
        <v>1490</v>
      </c>
      <c r="F175" s="545" t="s">
        <v>1438</v>
      </c>
      <c r="G175" s="544">
        <v>9900000</v>
      </c>
      <c r="H175" s="546">
        <v>44774</v>
      </c>
      <c r="I175" s="536">
        <v>45382</v>
      </c>
      <c r="J175" s="547">
        <v>5.4</v>
      </c>
    </row>
    <row r="176" spans="2:10" ht="15">
      <c r="B176" s="525">
        <v>41</v>
      </c>
      <c r="C176" s="544" t="s">
        <v>1394</v>
      </c>
      <c r="D176" s="544">
        <v>32377</v>
      </c>
      <c r="E176" s="528" t="s">
        <v>1490</v>
      </c>
      <c r="F176" s="545" t="s">
        <v>1439</v>
      </c>
      <c r="G176" s="544">
        <v>9900000</v>
      </c>
      <c r="H176" s="546">
        <v>44777</v>
      </c>
      <c r="I176" s="536">
        <v>45382</v>
      </c>
      <c r="J176" s="547">
        <v>5.4</v>
      </c>
    </row>
    <row r="177" spans="2:10" ht="15">
      <c r="B177" s="525">
        <v>42</v>
      </c>
      <c r="C177" s="544" t="s">
        <v>1394</v>
      </c>
      <c r="D177" s="544">
        <v>32313</v>
      </c>
      <c r="E177" s="528" t="s">
        <v>1490</v>
      </c>
      <c r="F177" s="545" t="s">
        <v>1440</v>
      </c>
      <c r="G177" s="544">
        <v>9900000</v>
      </c>
      <c r="H177" s="546">
        <v>44871</v>
      </c>
      <c r="I177" s="536">
        <v>45382</v>
      </c>
      <c r="J177" s="547">
        <v>5.75</v>
      </c>
    </row>
    <row r="178" spans="2:10" ht="15">
      <c r="B178" s="525">
        <v>43</v>
      </c>
      <c r="C178" s="544" t="s">
        <v>1394</v>
      </c>
      <c r="D178" s="544">
        <v>32365</v>
      </c>
      <c r="E178" s="528" t="s">
        <v>1490</v>
      </c>
      <c r="F178" s="545" t="s">
        <v>1441</v>
      </c>
      <c r="G178" s="544">
        <v>9900000</v>
      </c>
      <c r="H178" s="546">
        <v>44805</v>
      </c>
      <c r="I178" s="536">
        <v>45382</v>
      </c>
      <c r="J178" s="547">
        <v>5.4</v>
      </c>
    </row>
    <row r="179" spans="2:10" ht="15">
      <c r="B179" s="525">
        <v>44</v>
      </c>
      <c r="C179" s="544" t="s">
        <v>1394</v>
      </c>
      <c r="D179" s="544">
        <v>32336</v>
      </c>
      <c r="E179" s="528" t="s">
        <v>1490</v>
      </c>
      <c r="F179" s="545" t="s">
        <v>1442</v>
      </c>
      <c r="G179" s="544">
        <v>9900000</v>
      </c>
      <c r="H179" s="546">
        <v>44836</v>
      </c>
      <c r="I179" s="536">
        <v>45382</v>
      </c>
      <c r="J179" s="547">
        <v>5.5</v>
      </c>
    </row>
    <row r="180" spans="2:10" ht="15">
      <c r="B180" s="525">
        <v>45</v>
      </c>
      <c r="C180" s="544" t="s">
        <v>1394</v>
      </c>
      <c r="D180" s="544">
        <v>32192</v>
      </c>
      <c r="E180" s="528" t="s">
        <v>1490</v>
      </c>
      <c r="F180" s="545" t="s">
        <v>1443</v>
      </c>
      <c r="G180" s="544">
        <v>9900000</v>
      </c>
      <c r="H180" s="546">
        <v>44869</v>
      </c>
      <c r="I180" s="536">
        <v>45382</v>
      </c>
      <c r="J180" s="547">
        <v>5.75</v>
      </c>
    </row>
    <row r="181" spans="2:10" ht="15">
      <c r="B181" s="525">
        <v>46</v>
      </c>
      <c r="C181" s="544" t="s">
        <v>1394</v>
      </c>
      <c r="D181" s="544">
        <v>204006</v>
      </c>
      <c r="E181" s="528" t="s">
        <v>1490</v>
      </c>
      <c r="F181" s="545" t="s">
        <v>1444</v>
      </c>
      <c r="G181" s="544">
        <v>5000000</v>
      </c>
      <c r="H181" s="546">
        <v>44870</v>
      </c>
      <c r="I181" s="536">
        <v>45382</v>
      </c>
      <c r="J181" s="547">
        <v>5.75</v>
      </c>
    </row>
    <row r="182" spans="2:10" ht="15">
      <c r="B182" s="525">
        <v>47</v>
      </c>
      <c r="C182" s="544" t="s">
        <v>1394</v>
      </c>
      <c r="D182" s="544">
        <v>32258</v>
      </c>
      <c r="E182" s="528" t="s">
        <v>1490</v>
      </c>
      <c r="F182" s="545" t="s">
        <v>1445</v>
      </c>
      <c r="G182" s="544">
        <v>9900000</v>
      </c>
      <c r="H182" s="546">
        <v>44867</v>
      </c>
      <c r="I182" s="536">
        <v>45382</v>
      </c>
      <c r="J182" s="547">
        <v>5.75</v>
      </c>
    </row>
    <row r="183" spans="2:10" ht="15">
      <c r="B183" s="525">
        <v>48</v>
      </c>
      <c r="C183" s="544" t="s">
        <v>1394</v>
      </c>
      <c r="D183" s="544">
        <v>204135</v>
      </c>
      <c r="E183" s="528" t="s">
        <v>1490</v>
      </c>
      <c r="F183" s="545" t="s">
        <v>1446</v>
      </c>
      <c r="G183" s="544">
        <v>9900000</v>
      </c>
      <c r="H183" s="546">
        <v>44879</v>
      </c>
      <c r="I183" s="536">
        <v>45382</v>
      </c>
      <c r="J183" s="547">
        <v>5.75</v>
      </c>
    </row>
    <row r="184" spans="2:10" ht="15">
      <c r="B184" s="525">
        <v>49</v>
      </c>
      <c r="C184" s="544" t="s">
        <v>1394</v>
      </c>
      <c r="D184" s="544">
        <v>204064</v>
      </c>
      <c r="E184" s="528" t="s">
        <v>1490</v>
      </c>
      <c r="F184" s="545" t="s">
        <v>1447</v>
      </c>
      <c r="G184" s="544">
        <v>9900000</v>
      </c>
      <c r="H184" s="546">
        <v>44881</v>
      </c>
      <c r="I184" s="536">
        <v>45382</v>
      </c>
      <c r="J184" s="547">
        <v>5.75</v>
      </c>
    </row>
    <row r="185" spans="2:10" ht="15">
      <c r="B185" s="525">
        <v>50</v>
      </c>
      <c r="C185" s="544" t="s">
        <v>1394</v>
      </c>
      <c r="D185" s="544">
        <v>204171</v>
      </c>
      <c r="E185" s="528" t="s">
        <v>1490</v>
      </c>
      <c r="F185" s="545" t="s">
        <v>1448</v>
      </c>
      <c r="G185" s="544">
        <v>9900000</v>
      </c>
      <c r="H185" s="546">
        <v>44893</v>
      </c>
      <c r="I185" s="536">
        <v>45382</v>
      </c>
      <c r="J185" s="547">
        <v>5.75</v>
      </c>
    </row>
    <row r="186" spans="2:10" ht="15">
      <c r="B186" s="525">
        <v>51</v>
      </c>
      <c r="C186" s="544" t="s">
        <v>1394</v>
      </c>
      <c r="D186" s="544">
        <v>204337</v>
      </c>
      <c r="E186" s="528" t="s">
        <v>1490</v>
      </c>
      <c r="F186" s="545" t="s">
        <v>1449</v>
      </c>
      <c r="G186" s="544">
        <v>9900000</v>
      </c>
      <c r="H186" s="546">
        <v>44899</v>
      </c>
      <c r="I186" s="536">
        <v>45382</v>
      </c>
      <c r="J186" s="547">
        <v>5.75</v>
      </c>
    </row>
    <row r="187" spans="2:10" ht="15">
      <c r="B187" s="525">
        <v>52</v>
      </c>
      <c r="C187" s="544" t="s">
        <v>1394</v>
      </c>
      <c r="D187" s="544">
        <v>204921</v>
      </c>
      <c r="E187" s="528" t="s">
        <v>1490</v>
      </c>
      <c r="F187" s="545" t="s">
        <v>1451</v>
      </c>
      <c r="G187" s="544">
        <v>9900000</v>
      </c>
      <c r="H187" s="546">
        <v>44909</v>
      </c>
      <c r="I187" s="536">
        <v>45382</v>
      </c>
      <c r="J187" s="547">
        <v>5.75</v>
      </c>
    </row>
    <row r="188" spans="2:10" ht="15">
      <c r="B188" s="525">
        <v>53</v>
      </c>
      <c r="C188" s="544" t="s">
        <v>1394</v>
      </c>
      <c r="D188" s="544">
        <v>204442</v>
      </c>
      <c r="E188" s="528" t="s">
        <v>1490</v>
      </c>
      <c r="F188" s="545" t="s">
        <v>1452</v>
      </c>
      <c r="G188" s="544">
        <v>9900000</v>
      </c>
      <c r="H188" s="546">
        <v>44942</v>
      </c>
      <c r="I188" s="536">
        <v>45382</v>
      </c>
      <c r="J188" s="547">
        <v>6</v>
      </c>
    </row>
    <row r="189" spans="2:10" ht="15">
      <c r="B189" s="525">
        <v>54</v>
      </c>
      <c r="C189" s="544" t="s">
        <v>1394</v>
      </c>
      <c r="D189" s="544">
        <v>204507</v>
      </c>
      <c r="E189" s="528" t="s">
        <v>1490</v>
      </c>
      <c r="F189" s="545" t="s">
        <v>1453</v>
      </c>
      <c r="G189" s="544">
        <v>9900000</v>
      </c>
      <c r="H189" s="546">
        <v>44932</v>
      </c>
      <c r="I189" s="536">
        <v>45382</v>
      </c>
      <c r="J189" s="547">
        <v>6</v>
      </c>
    </row>
    <row r="190" spans="2:10" ht="15">
      <c r="B190" s="525">
        <v>55</v>
      </c>
      <c r="C190" s="544" t="s">
        <v>1394</v>
      </c>
      <c r="D190" s="544">
        <v>37608</v>
      </c>
      <c r="E190" s="528" t="s">
        <v>1490</v>
      </c>
      <c r="F190" s="545" t="s">
        <v>1454</v>
      </c>
      <c r="G190" s="544">
        <v>9900000</v>
      </c>
      <c r="H190" s="546">
        <v>44976</v>
      </c>
      <c r="I190" s="536">
        <v>45382</v>
      </c>
      <c r="J190" s="547">
        <v>6</v>
      </c>
    </row>
    <row r="191" spans="2:10" ht="15">
      <c r="B191" s="525">
        <v>56</v>
      </c>
      <c r="C191" s="544" t="s">
        <v>1394</v>
      </c>
      <c r="D191" s="544">
        <v>37606</v>
      </c>
      <c r="E191" s="528" t="s">
        <v>1490</v>
      </c>
      <c r="F191" s="545" t="s">
        <v>1455</v>
      </c>
      <c r="G191" s="544">
        <v>9900000</v>
      </c>
      <c r="H191" s="546">
        <v>44976</v>
      </c>
      <c r="I191" s="536">
        <v>45382</v>
      </c>
      <c r="J191" s="547">
        <v>6</v>
      </c>
    </row>
    <row r="192" spans="2:10" ht="15">
      <c r="B192" s="525">
        <v>57</v>
      </c>
      <c r="C192" s="544" t="s">
        <v>1394</v>
      </c>
      <c r="D192" s="544">
        <v>37584</v>
      </c>
      <c r="E192" s="528" t="s">
        <v>1490</v>
      </c>
      <c r="F192" s="545" t="s">
        <v>1456</v>
      </c>
      <c r="G192" s="544">
        <v>9900000</v>
      </c>
      <c r="H192" s="546">
        <v>44971</v>
      </c>
      <c r="I192" s="536">
        <v>45382</v>
      </c>
      <c r="J192" s="547">
        <v>6</v>
      </c>
    </row>
    <row r="193" spans="2:10" ht="15">
      <c r="B193" s="525">
        <v>58</v>
      </c>
      <c r="C193" s="544" t="s">
        <v>1394</v>
      </c>
      <c r="D193" s="544">
        <v>37617</v>
      </c>
      <c r="E193" s="528" t="s">
        <v>1490</v>
      </c>
      <c r="F193" s="545" t="s">
        <v>1457</v>
      </c>
      <c r="G193" s="544">
        <v>9900000</v>
      </c>
      <c r="H193" s="546">
        <v>44979</v>
      </c>
      <c r="I193" s="536">
        <v>45382</v>
      </c>
      <c r="J193" s="547">
        <v>6</v>
      </c>
    </row>
    <row r="194" spans="2:10" ht="15">
      <c r="B194" s="525">
        <v>59</v>
      </c>
      <c r="C194" s="544" t="s">
        <v>1394</v>
      </c>
      <c r="D194" s="544">
        <v>37306</v>
      </c>
      <c r="E194" s="528" t="s">
        <v>1490</v>
      </c>
      <c r="F194" s="545" t="s">
        <v>1458</v>
      </c>
      <c r="G194" s="544">
        <v>9900000</v>
      </c>
      <c r="H194" s="546">
        <v>44986</v>
      </c>
      <c r="I194" s="536">
        <v>45382</v>
      </c>
      <c r="J194" s="547">
        <v>6</v>
      </c>
    </row>
    <row r="195" spans="2:10" ht="15">
      <c r="B195" s="525">
        <v>60</v>
      </c>
      <c r="C195" s="544" t="s">
        <v>1394</v>
      </c>
      <c r="D195" s="544">
        <v>37308</v>
      </c>
      <c r="E195" s="528" t="s">
        <v>1490</v>
      </c>
      <c r="F195" s="545" t="s">
        <v>1459</v>
      </c>
      <c r="G195" s="544">
        <v>9900000</v>
      </c>
      <c r="H195" s="546">
        <v>44989</v>
      </c>
      <c r="I195" s="536">
        <v>45382</v>
      </c>
      <c r="J195" s="547">
        <v>6</v>
      </c>
    </row>
    <row r="196" spans="2:10" ht="15">
      <c r="B196" s="525">
        <v>61</v>
      </c>
      <c r="C196" s="544" t="s">
        <v>1394</v>
      </c>
      <c r="D196" s="544">
        <v>37304</v>
      </c>
      <c r="E196" s="528" t="s">
        <v>1490</v>
      </c>
      <c r="F196" s="545" t="s">
        <v>1460</v>
      </c>
      <c r="G196" s="544">
        <v>9900000</v>
      </c>
      <c r="H196" s="546">
        <v>44994</v>
      </c>
      <c r="I196" s="536">
        <v>45382</v>
      </c>
      <c r="J196" s="547">
        <v>6</v>
      </c>
    </row>
    <row r="197" spans="2:10" ht="15">
      <c r="B197" s="525">
        <v>62</v>
      </c>
      <c r="C197" s="544" t="s">
        <v>1394</v>
      </c>
      <c r="D197" s="544">
        <v>37302</v>
      </c>
      <c r="E197" s="528" t="s">
        <v>1490</v>
      </c>
      <c r="F197" s="545" t="s">
        <v>1461</v>
      </c>
      <c r="G197" s="544">
        <v>9900000</v>
      </c>
      <c r="H197" s="546">
        <v>44991</v>
      </c>
      <c r="I197" s="536">
        <v>45382</v>
      </c>
      <c r="J197" s="547">
        <v>6</v>
      </c>
    </row>
    <row r="198" spans="2:10" ht="15">
      <c r="B198" s="525">
        <v>63</v>
      </c>
      <c r="C198" s="544" t="s">
        <v>1394</v>
      </c>
      <c r="D198" s="544">
        <v>37364</v>
      </c>
      <c r="E198" s="528" t="s">
        <v>1490</v>
      </c>
      <c r="F198" s="545" t="s">
        <v>1462</v>
      </c>
      <c r="G198" s="544">
        <v>9900000</v>
      </c>
      <c r="H198" s="546">
        <v>45001</v>
      </c>
      <c r="I198" s="536">
        <v>45382</v>
      </c>
      <c r="J198" s="547">
        <v>6</v>
      </c>
    </row>
    <row r="199" spans="2:10" ht="15">
      <c r="B199" s="525">
        <v>64</v>
      </c>
      <c r="C199" s="544" t="s">
        <v>1394</v>
      </c>
      <c r="D199" s="544">
        <v>37149</v>
      </c>
      <c r="E199" s="528" t="s">
        <v>1490</v>
      </c>
      <c r="F199" s="545" t="s">
        <v>1463</v>
      </c>
      <c r="G199" s="544">
        <v>9900000</v>
      </c>
      <c r="H199" s="546">
        <v>45004</v>
      </c>
      <c r="I199" s="536">
        <v>45382</v>
      </c>
      <c r="J199" s="547">
        <v>6</v>
      </c>
    </row>
    <row r="200" spans="2:10" ht="15">
      <c r="B200" s="525">
        <v>65</v>
      </c>
      <c r="C200" s="544" t="s">
        <v>1394</v>
      </c>
      <c r="D200" s="544">
        <v>37227</v>
      </c>
      <c r="E200" s="528" t="s">
        <v>1490</v>
      </c>
      <c r="F200" s="545" t="s">
        <v>1464</v>
      </c>
      <c r="G200" s="544">
        <v>9900000</v>
      </c>
      <c r="H200" s="546">
        <v>45013</v>
      </c>
      <c r="I200" s="536">
        <v>45382</v>
      </c>
      <c r="J200" s="547">
        <v>6</v>
      </c>
    </row>
    <row r="201" spans="2:10" ht="15">
      <c r="B201" s="525">
        <v>66</v>
      </c>
      <c r="C201" s="544" t="s">
        <v>1394</v>
      </c>
      <c r="D201" s="544">
        <v>37363</v>
      </c>
      <c r="E201" s="528" t="s">
        <v>1490</v>
      </c>
      <c r="F201" s="545" t="s">
        <v>1465</v>
      </c>
      <c r="G201" s="544">
        <v>9900000</v>
      </c>
      <c r="H201" s="546">
        <v>45014</v>
      </c>
      <c r="I201" s="536">
        <v>45382</v>
      </c>
      <c r="J201" s="547">
        <v>6</v>
      </c>
    </row>
    <row r="202" spans="2:10" ht="15">
      <c r="B202" s="525">
        <v>67</v>
      </c>
      <c r="C202" s="544" t="s">
        <v>1394</v>
      </c>
      <c r="D202" s="544">
        <v>37195</v>
      </c>
      <c r="E202" s="528" t="s">
        <v>1490</v>
      </c>
      <c r="F202" s="529" t="s">
        <v>1347</v>
      </c>
      <c r="G202" s="544">
        <v>9900000</v>
      </c>
      <c r="H202" s="546">
        <v>45019</v>
      </c>
      <c r="I202" s="536">
        <v>45382</v>
      </c>
      <c r="J202" s="547">
        <v>6</v>
      </c>
    </row>
    <row r="203" spans="2:10" ht="15">
      <c r="B203" s="525">
        <v>68</v>
      </c>
      <c r="C203" s="544" t="s">
        <v>1394</v>
      </c>
      <c r="D203" s="544">
        <v>204449</v>
      </c>
      <c r="E203" s="528" t="s">
        <v>1490</v>
      </c>
      <c r="F203" s="545" t="s">
        <v>1370</v>
      </c>
      <c r="G203" s="544">
        <v>9900000</v>
      </c>
      <c r="H203" s="546">
        <v>45033</v>
      </c>
      <c r="I203" s="536">
        <v>45382</v>
      </c>
      <c r="J203" s="547">
        <v>6</v>
      </c>
    </row>
    <row r="204" spans="2:10" ht="15">
      <c r="B204" s="525">
        <v>69</v>
      </c>
      <c r="C204" s="544" t="s">
        <v>1394</v>
      </c>
      <c r="D204" s="544">
        <v>37686</v>
      </c>
      <c r="E204" s="528" t="s">
        <v>1490</v>
      </c>
      <c r="F204" s="545" t="s">
        <v>1349</v>
      </c>
      <c r="G204" s="544">
        <v>9900000</v>
      </c>
      <c r="H204" s="546">
        <v>45045</v>
      </c>
      <c r="I204" s="536">
        <v>45382</v>
      </c>
      <c r="J204" s="547">
        <v>6</v>
      </c>
    </row>
    <row r="205" spans="2:10" ht="15">
      <c r="B205" s="525">
        <v>70</v>
      </c>
      <c r="C205" s="544" t="s">
        <v>1394</v>
      </c>
      <c r="D205" s="544">
        <v>37662</v>
      </c>
      <c r="E205" s="528" t="s">
        <v>1490</v>
      </c>
      <c r="F205" s="545" t="s">
        <v>1351</v>
      </c>
      <c r="G205" s="544">
        <v>9900000</v>
      </c>
      <c r="H205" s="546">
        <v>45047</v>
      </c>
      <c r="I205" s="536">
        <v>45382</v>
      </c>
      <c r="J205" s="547">
        <v>6</v>
      </c>
    </row>
    <row r="206" spans="2:10" ht="15">
      <c r="B206" s="525">
        <v>71</v>
      </c>
      <c r="C206" s="544" t="s">
        <v>1394</v>
      </c>
      <c r="D206" s="544">
        <v>37661</v>
      </c>
      <c r="E206" s="528" t="s">
        <v>1490</v>
      </c>
      <c r="F206" s="545" t="s">
        <v>1384</v>
      </c>
      <c r="G206" s="544">
        <v>9900000</v>
      </c>
      <c r="H206" s="546">
        <v>45047</v>
      </c>
      <c r="I206" s="536">
        <v>45382</v>
      </c>
      <c r="J206" s="547">
        <v>6</v>
      </c>
    </row>
    <row r="207" spans="2:10" ht="15">
      <c r="B207" s="525">
        <v>72</v>
      </c>
      <c r="C207" s="544" t="s">
        <v>1394</v>
      </c>
      <c r="D207" s="544">
        <v>204538</v>
      </c>
      <c r="E207" s="528" t="s">
        <v>1490</v>
      </c>
      <c r="F207" s="545" t="s">
        <v>1430</v>
      </c>
      <c r="G207" s="544">
        <v>9900000</v>
      </c>
      <c r="H207" s="546">
        <v>45050</v>
      </c>
      <c r="I207" s="536">
        <v>45382</v>
      </c>
      <c r="J207" s="547">
        <v>7.15</v>
      </c>
    </row>
    <row r="208" spans="2:10" ht="15">
      <c r="B208" s="525">
        <v>73</v>
      </c>
      <c r="C208" s="544" t="s">
        <v>1394</v>
      </c>
      <c r="D208" s="544">
        <v>37716</v>
      </c>
      <c r="E208" s="528" t="s">
        <v>1490</v>
      </c>
      <c r="F208" s="545" t="s">
        <v>1367</v>
      </c>
      <c r="G208" s="544">
        <v>9900000</v>
      </c>
      <c r="H208" s="546">
        <v>45052</v>
      </c>
      <c r="I208" s="536">
        <v>45382</v>
      </c>
      <c r="J208" s="547">
        <v>7.15</v>
      </c>
    </row>
    <row r="209" spans="2:10" ht="15">
      <c r="B209" s="525">
        <v>74</v>
      </c>
      <c r="C209" s="544" t="s">
        <v>1394</v>
      </c>
      <c r="D209" s="544">
        <v>204861</v>
      </c>
      <c r="E209" s="528" t="s">
        <v>1490</v>
      </c>
      <c r="F209" s="545" t="s">
        <v>1365</v>
      </c>
      <c r="G209" s="544">
        <v>9900000</v>
      </c>
      <c r="H209" s="546">
        <v>45055</v>
      </c>
      <c r="I209" s="536">
        <v>45382</v>
      </c>
      <c r="J209" s="547">
        <v>7.15</v>
      </c>
    </row>
    <row r="210" spans="2:10" ht="15">
      <c r="B210" s="525">
        <v>75</v>
      </c>
      <c r="C210" s="544" t="s">
        <v>1394</v>
      </c>
      <c r="D210" s="544">
        <v>204871</v>
      </c>
      <c r="E210" s="528" t="s">
        <v>1490</v>
      </c>
      <c r="F210" s="545" t="s">
        <v>1362</v>
      </c>
      <c r="G210" s="544">
        <v>9900000</v>
      </c>
      <c r="H210" s="546">
        <v>45055</v>
      </c>
      <c r="I210" s="536">
        <v>45382</v>
      </c>
      <c r="J210" s="547">
        <v>7.15</v>
      </c>
    </row>
    <row r="211" spans="2:10" ht="15">
      <c r="B211" s="525">
        <v>76</v>
      </c>
      <c r="C211" s="544" t="s">
        <v>1394</v>
      </c>
      <c r="D211" s="544">
        <v>204534</v>
      </c>
      <c r="E211" s="528" t="s">
        <v>1490</v>
      </c>
      <c r="F211" s="545" t="s">
        <v>1359</v>
      </c>
      <c r="G211" s="544">
        <v>9900000</v>
      </c>
      <c r="H211" s="546">
        <v>45056</v>
      </c>
      <c r="I211" s="536">
        <v>45382</v>
      </c>
      <c r="J211" s="547">
        <v>7.15</v>
      </c>
    </row>
    <row r="212" spans="2:10" ht="15">
      <c r="B212" s="525">
        <v>77</v>
      </c>
      <c r="C212" s="544" t="s">
        <v>1394</v>
      </c>
      <c r="D212" s="544">
        <v>37650</v>
      </c>
      <c r="E212" s="528" t="s">
        <v>1490</v>
      </c>
      <c r="F212" s="545" t="s">
        <v>1356</v>
      </c>
      <c r="G212" s="544">
        <v>9900000</v>
      </c>
      <c r="H212" s="546">
        <v>45057</v>
      </c>
      <c r="I212" s="536">
        <v>45382</v>
      </c>
      <c r="J212" s="547">
        <v>7.15</v>
      </c>
    </row>
    <row r="213" spans="2:10" ht="15">
      <c r="B213" s="525">
        <v>78</v>
      </c>
      <c r="C213" s="544" t="s">
        <v>1394</v>
      </c>
      <c r="D213" s="544">
        <v>37654</v>
      </c>
      <c r="E213" s="528" t="s">
        <v>1490</v>
      </c>
      <c r="F213" s="545" t="s">
        <v>1353</v>
      </c>
      <c r="G213" s="544">
        <v>9900000</v>
      </c>
      <c r="H213" s="546">
        <v>45060</v>
      </c>
      <c r="I213" s="536">
        <v>45382</v>
      </c>
      <c r="J213" s="547">
        <v>7.15</v>
      </c>
    </row>
    <row r="214" spans="2:10" ht="15">
      <c r="B214" s="525">
        <v>79</v>
      </c>
      <c r="C214" s="544" t="s">
        <v>1394</v>
      </c>
      <c r="D214" s="544">
        <v>37653</v>
      </c>
      <c r="E214" s="528" t="s">
        <v>1490</v>
      </c>
      <c r="F214" s="545" t="s">
        <v>1376</v>
      </c>
      <c r="G214" s="544">
        <v>9900000</v>
      </c>
      <c r="H214" s="546">
        <v>45062</v>
      </c>
      <c r="I214" s="536">
        <v>45382</v>
      </c>
      <c r="J214" s="547">
        <v>7.15</v>
      </c>
    </row>
    <row r="215" spans="2:10" ht="15">
      <c r="B215" s="525">
        <v>80</v>
      </c>
      <c r="C215" s="544" t="s">
        <v>1394</v>
      </c>
      <c r="D215" s="544">
        <v>204872</v>
      </c>
      <c r="E215" s="528" t="s">
        <v>1490</v>
      </c>
      <c r="F215" s="545" t="s">
        <v>1373</v>
      </c>
      <c r="G215" s="544">
        <v>9900000</v>
      </c>
      <c r="H215" s="546">
        <v>45065</v>
      </c>
      <c r="I215" s="536">
        <v>45382</v>
      </c>
      <c r="J215" s="547">
        <v>7.15</v>
      </c>
    </row>
    <row r="216" spans="2:10" ht="15">
      <c r="B216" s="525">
        <v>81</v>
      </c>
      <c r="C216" s="544" t="s">
        <v>1394</v>
      </c>
      <c r="D216" s="544">
        <v>204873</v>
      </c>
      <c r="E216" s="528" t="s">
        <v>1490</v>
      </c>
      <c r="F216" s="545" t="s">
        <v>1379</v>
      </c>
      <c r="G216" s="544">
        <v>9900000</v>
      </c>
      <c r="H216" s="546">
        <v>45065</v>
      </c>
      <c r="I216" s="536">
        <v>45382</v>
      </c>
      <c r="J216" s="547">
        <v>7.15</v>
      </c>
    </row>
    <row r="217" spans="2:10" ht="15">
      <c r="B217" s="525">
        <v>82</v>
      </c>
      <c r="C217" s="544" t="s">
        <v>1394</v>
      </c>
      <c r="D217" s="544">
        <v>204672</v>
      </c>
      <c r="E217" s="528" t="s">
        <v>1490</v>
      </c>
      <c r="F217" s="545" t="s">
        <v>1491</v>
      </c>
      <c r="G217" s="544">
        <v>9900000</v>
      </c>
      <c r="H217" s="546">
        <v>45072</v>
      </c>
      <c r="I217" s="536">
        <v>45382</v>
      </c>
      <c r="J217" s="547">
        <v>7</v>
      </c>
    </row>
    <row r="218" spans="2:10" ht="15">
      <c r="B218" s="525">
        <v>83</v>
      </c>
      <c r="C218" s="544" t="s">
        <v>1394</v>
      </c>
      <c r="D218" s="544">
        <v>204544</v>
      </c>
      <c r="E218" s="528" t="s">
        <v>1490</v>
      </c>
      <c r="F218" s="545" t="s">
        <v>1386</v>
      </c>
      <c r="G218" s="544">
        <v>9900000</v>
      </c>
      <c r="H218" s="546">
        <v>45074</v>
      </c>
      <c r="I218" s="536">
        <v>45382</v>
      </c>
      <c r="J218" s="547">
        <v>7</v>
      </c>
    </row>
    <row r="219" spans="2:10" ht="15">
      <c r="B219" s="525">
        <v>84</v>
      </c>
      <c r="C219" s="544" t="s">
        <v>1394</v>
      </c>
      <c r="D219" s="544">
        <v>204665</v>
      </c>
      <c r="E219" s="528" t="s">
        <v>1490</v>
      </c>
      <c r="F219" s="545" t="s">
        <v>1396</v>
      </c>
      <c r="G219" s="544">
        <v>9900000</v>
      </c>
      <c r="H219" s="546">
        <v>45075</v>
      </c>
      <c r="I219" s="536">
        <v>45382</v>
      </c>
      <c r="J219" s="547">
        <v>7</v>
      </c>
    </row>
    <row r="220" spans="2:10" ht="15">
      <c r="B220" s="525">
        <v>85</v>
      </c>
      <c r="C220" s="544" t="s">
        <v>1394</v>
      </c>
      <c r="D220" s="544">
        <v>204663</v>
      </c>
      <c r="E220" s="528" t="s">
        <v>1490</v>
      </c>
      <c r="F220" s="545" t="s">
        <v>1389</v>
      </c>
      <c r="G220" s="544">
        <v>9900000</v>
      </c>
      <c r="H220" s="546">
        <v>45075</v>
      </c>
      <c r="I220" s="536">
        <v>45382</v>
      </c>
      <c r="J220" s="547">
        <v>7</v>
      </c>
    </row>
    <row r="221" spans="2:10" ht="15">
      <c r="B221" s="525">
        <v>86</v>
      </c>
      <c r="C221" s="544" t="s">
        <v>1394</v>
      </c>
      <c r="D221" s="544">
        <v>243542</v>
      </c>
      <c r="E221" s="528" t="s">
        <v>1490</v>
      </c>
      <c r="F221" s="545" t="s">
        <v>1381</v>
      </c>
      <c r="G221" s="544">
        <v>9900000</v>
      </c>
      <c r="H221" s="546">
        <v>45078</v>
      </c>
      <c r="I221" s="536">
        <v>45382</v>
      </c>
      <c r="J221" s="547">
        <v>6</v>
      </c>
    </row>
    <row r="222" spans="2:10" ht="15">
      <c r="B222" s="525">
        <v>87</v>
      </c>
      <c r="C222" s="544" t="s">
        <v>1394</v>
      </c>
      <c r="D222" s="545">
        <v>205367</v>
      </c>
      <c r="E222" s="528" t="s">
        <v>1490</v>
      </c>
      <c r="F222" s="545" t="s">
        <v>1492</v>
      </c>
      <c r="G222" s="544">
        <v>9900000</v>
      </c>
      <c r="H222" s="546">
        <v>45082</v>
      </c>
      <c r="I222" s="536">
        <v>45382</v>
      </c>
      <c r="J222" s="547">
        <v>7</v>
      </c>
    </row>
    <row r="223" spans="2:10" ht="15">
      <c r="B223" s="525">
        <v>88</v>
      </c>
      <c r="C223" s="544" t="s">
        <v>1394</v>
      </c>
      <c r="D223" s="544">
        <v>204845</v>
      </c>
      <c r="E223" s="528" t="s">
        <v>1490</v>
      </c>
      <c r="F223" s="545" t="s">
        <v>1493</v>
      </c>
      <c r="G223" s="544">
        <v>9900000</v>
      </c>
      <c r="H223" s="546">
        <v>45084</v>
      </c>
      <c r="I223" s="536">
        <v>45382</v>
      </c>
      <c r="J223" s="547">
        <v>7</v>
      </c>
    </row>
    <row r="224" spans="2:10" ht="15">
      <c r="B224" s="525">
        <v>89</v>
      </c>
      <c r="C224" s="544" t="s">
        <v>1394</v>
      </c>
      <c r="D224" s="544">
        <v>204846</v>
      </c>
      <c r="E224" s="528" t="s">
        <v>1490</v>
      </c>
      <c r="F224" s="545" t="s">
        <v>1494</v>
      </c>
      <c r="G224" s="544">
        <v>9900000</v>
      </c>
      <c r="H224" s="546">
        <v>45084</v>
      </c>
      <c r="I224" s="536">
        <v>45382</v>
      </c>
      <c r="J224" s="547">
        <v>7</v>
      </c>
    </row>
    <row r="225" spans="2:10" ht="15">
      <c r="B225" s="525">
        <v>90</v>
      </c>
      <c r="C225" s="544" t="s">
        <v>1394</v>
      </c>
      <c r="D225" s="544">
        <v>204847</v>
      </c>
      <c r="E225" s="528" t="s">
        <v>1490</v>
      </c>
      <c r="F225" s="545" t="s">
        <v>1495</v>
      </c>
      <c r="G225" s="544">
        <v>9900000</v>
      </c>
      <c r="H225" s="546">
        <v>45085</v>
      </c>
      <c r="I225" s="536">
        <v>45382</v>
      </c>
      <c r="J225" s="547">
        <v>7</v>
      </c>
    </row>
    <row r="226" spans="2:10" ht="15">
      <c r="B226" s="525">
        <v>91</v>
      </c>
      <c r="C226" s="544" t="s">
        <v>1394</v>
      </c>
      <c r="D226" s="544">
        <v>205366</v>
      </c>
      <c r="E226" s="528" t="s">
        <v>1490</v>
      </c>
      <c r="F226" s="545" t="s">
        <v>1496</v>
      </c>
      <c r="G226" s="544">
        <v>9900000</v>
      </c>
      <c r="H226" s="546">
        <v>45097</v>
      </c>
      <c r="I226" s="536">
        <v>45382</v>
      </c>
      <c r="J226" s="547">
        <v>7</v>
      </c>
    </row>
    <row r="227" spans="2:10" ht="15">
      <c r="B227" s="525">
        <v>92</v>
      </c>
      <c r="C227" s="544" t="s">
        <v>1394</v>
      </c>
      <c r="D227" s="544">
        <v>204707</v>
      </c>
      <c r="E227" s="528" t="s">
        <v>1490</v>
      </c>
      <c r="F227" s="545" t="s">
        <v>1392</v>
      </c>
      <c r="G227" s="544">
        <v>9900000</v>
      </c>
      <c r="H227" s="546">
        <v>45100</v>
      </c>
      <c r="I227" s="536">
        <v>45382</v>
      </c>
      <c r="J227" s="547">
        <v>7</v>
      </c>
    </row>
    <row r="228" spans="2:10" ht="15">
      <c r="B228" s="525">
        <v>93</v>
      </c>
      <c r="C228" s="544" t="s">
        <v>1394</v>
      </c>
      <c r="D228" s="544">
        <v>204660</v>
      </c>
      <c r="E228" s="528" t="s">
        <v>1490</v>
      </c>
      <c r="F228" s="545" t="s">
        <v>1398</v>
      </c>
      <c r="G228" s="544">
        <v>9900000</v>
      </c>
      <c r="H228" s="546">
        <v>45109</v>
      </c>
      <c r="I228" s="536">
        <v>45382</v>
      </c>
      <c r="J228" s="547">
        <v>6</v>
      </c>
    </row>
    <row r="229" spans="2:10" ht="15">
      <c r="B229" s="525">
        <v>94</v>
      </c>
      <c r="C229" s="544" t="s">
        <v>1394</v>
      </c>
      <c r="D229" s="544">
        <v>204658</v>
      </c>
      <c r="E229" s="528" t="s">
        <v>1490</v>
      </c>
      <c r="F229" s="545" t="s">
        <v>1422</v>
      </c>
      <c r="G229" s="544">
        <v>9900000</v>
      </c>
      <c r="H229" s="546">
        <v>45110</v>
      </c>
      <c r="I229" s="536">
        <v>45382</v>
      </c>
      <c r="J229" s="547">
        <v>6</v>
      </c>
    </row>
    <row r="230" spans="2:10" ht="15">
      <c r="B230" s="525">
        <v>95</v>
      </c>
      <c r="C230" s="544" t="s">
        <v>1394</v>
      </c>
      <c r="D230" s="544">
        <v>243011</v>
      </c>
      <c r="E230" s="528" t="s">
        <v>1490</v>
      </c>
      <c r="F230" s="545" t="s">
        <v>1401</v>
      </c>
      <c r="G230" s="544">
        <v>9900000</v>
      </c>
      <c r="H230" s="546">
        <v>45116</v>
      </c>
      <c r="I230" s="536">
        <v>45382</v>
      </c>
      <c r="J230" s="547">
        <v>7</v>
      </c>
    </row>
    <row r="231" spans="2:10" ht="15">
      <c r="B231" s="525">
        <v>96</v>
      </c>
      <c r="C231" s="544" t="s">
        <v>1394</v>
      </c>
      <c r="D231" s="544">
        <v>243014</v>
      </c>
      <c r="E231" s="528" t="s">
        <v>1490</v>
      </c>
      <c r="F231" s="545" t="s">
        <v>1419</v>
      </c>
      <c r="G231" s="544">
        <v>9900000</v>
      </c>
      <c r="H231" s="546">
        <v>45129</v>
      </c>
      <c r="I231" s="536">
        <v>45382</v>
      </c>
      <c r="J231" s="547">
        <v>7</v>
      </c>
    </row>
    <row r="232" spans="2:10" ht="15">
      <c r="B232" s="525">
        <v>97</v>
      </c>
      <c r="C232" s="544" t="s">
        <v>1394</v>
      </c>
      <c r="D232" s="544">
        <v>243013</v>
      </c>
      <c r="E232" s="528" t="s">
        <v>1490</v>
      </c>
      <c r="F232" s="545" t="s">
        <v>1416</v>
      </c>
      <c r="G232" s="544">
        <v>9900000</v>
      </c>
      <c r="H232" s="546">
        <v>45130</v>
      </c>
      <c r="I232" s="536">
        <v>45382</v>
      </c>
      <c r="J232" s="547">
        <v>7</v>
      </c>
    </row>
    <row r="233" spans="2:10" ht="15">
      <c r="B233" s="525">
        <v>98</v>
      </c>
      <c r="C233" s="544" t="s">
        <v>1394</v>
      </c>
      <c r="D233" s="544">
        <v>243218</v>
      </c>
      <c r="E233" s="528" t="s">
        <v>1490</v>
      </c>
      <c r="F233" s="545" t="s">
        <v>1497</v>
      </c>
      <c r="G233" s="544">
        <v>9900000</v>
      </c>
      <c r="H233" s="546">
        <v>45184</v>
      </c>
      <c r="I233" s="536">
        <v>45382</v>
      </c>
      <c r="J233" s="547">
        <v>7.25</v>
      </c>
    </row>
    <row r="234" spans="2:10" ht="15">
      <c r="B234" s="525">
        <v>99</v>
      </c>
      <c r="C234" s="544" t="s">
        <v>1394</v>
      </c>
      <c r="D234" s="544">
        <v>243223</v>
      </c>
      <c r="E234" s="528" t="s">
        <v>1490</v>
      </c>
      <c r="F234" s="545" t="s">
        <v>1498</v>
      </c>
      <c r="G234" s="544">
        <v>9900000</v>
      </c>
      <c r="H234" s="546">
        <v>45184</v>
      </c>
      <c r="I234" s="536">
        <v>45382</v>
      </c>
      <c r="J234" s="547">
        <v>7.25</v>
      </c>
    </row>
    <row r="235" spans="2:10" ht="15">
      <c r="B235" s="525">
        <v>100</v>
      </c>
      <c r="C235" s="544" t="s">
        <v>1394</v>
      </c>
      <c r="D235" s="544">
        <v>243245</v>
      </c>
      <c r="E235" s="528" t="s">
        <v>1490</v>
      </c>
      <c r="F235" s="545" t="s">
        <v>1425</v>
      </c>
      <c r="G235" s="544">
        <v>9900000</v>
      </c>
      <c r="H235" s="546">
        <v>45208</v>
      </c>
      <c r="I235" s="536">
        <v>45382</v>
      </c>
      <c r="J235" s="547">
        <v>7.25</v>
      </c>
    </row>
    <row r="236" spans="2:10" ht="15">
      <c r="B236" s="525">
        <v>101</v>
      </c>
      <c r="C236" s="544" t="s">
        <v>1394</v>
      </c>
      <c r="D236" s="545" t="s">
        <v>1499</v>
      </c>
      <c r="E236" s="528" t="s">
        <v>1490</v>
      </c>
      <c r="F236" s="545" t="s">
        <v>1410</v>
      </c>
      <c r="G236" s="544">
        <v>8000000</v>
      </c>
      <c r="H236" s="546">
        <v>45243</v>
      </c>
      <c r="I236" s="536">
        <v>45382</v>
      </c>
      <c r="J236" s="547">
        <v>7.25</v>
      </c>
    </row>
    <row r="237" spans="2:10" ht="15">
      <c r="B237" s="525">
        <v>102</v>
      </c>
      <c r="C237" s="544" t="s">
        <v>1394</v>
      </c>
      <c r="D237" s="545" t="s">
        <v>1500</v>
      </c>
      <c r="E237" s="528" t="s">
        <v>1490</v>
      </c>
      <c r="F237" s="545" t="s">
        <v>1501</v>
      </c>
      <c r="G237" s="544">
        <v>5000000</v>
      </c>
      <c r="H237" s="546">
        <v>45245</v>
      </c>
      <c r="I237" s="536">
        <v>45382</v>
      </c>
      <c r="J237" s="547">
        <v>7.25</v>
      </c>
    </row>
    <row r="238" spans="2:10" ht="15">
      <c r="B238" s="525">
        <v>103</v>
      </c>
      <c r="C238" s="544" t="s">
        <v>1394</v>
      </c>
      <c r="D238" s="544">
        <v>243715</v>
      </c>
      <c r="E238" s="528" t="s">
        <v>1490</v>
      </c>
      <c r="F238" s="545" t="s">
        <v>1428</v>
      </c>
      <c r="G238" s="544">
        <v>9900000</v>
      </c>
      <c r="H238" s="546">
        <v>45272</v>
      </c>
      <c r="I238" s="536">
        <v>45382</v>
      </c>
      <c r="J238" s="547">
        <v>7.25</v>
      </c>
    </row>
    <row r="239" spans="2:10" ht="15">
      <c r="B239" s="537"/>
      <c r="C239" s="537"/>
      <c r="D239" s="537"/>
      <c r="E239" s="537"/>
      <c r="F239" s="537"/>
      <c r="G239" s="537">
        <v>998100000</v>
      </c>
      <c r="H239" s="537"/>
      <c r="I239" s="537"/>
      <c r="J239" s="537"/>
    </row>
    <row r="241" spans="10:10">
      <c r="J241">
        <f>SUMPRODUCT(G136:G238,J136:J238)/G239</f>
        <v>6.6507113515679794</v>
      </c>
    </row>
  </sheetData>
  <mergeCells count="12">
    <mergeCell ref="B2:J2"/>
    <mergeCell ref="B12:B13"/>
    <mergeCell ref="C12:C13"/>
    <mergeCell ref="B5:B6"/>
    <mergeCell ref="C5:C6"/>
    <mergeCell ref="D5:E5"/>
    <mergeCell ref="D27:D28"/>
    <mergeCell ref="E27:E28"/>
    <mergeCell ref="B27:B28"/>
    <mergeCell ref="C27:C28"/>
    <mergeCell ref="B34:B35"/>
    <mergeCell ref="C34:C35"/>
  </mergeCells>
  <pageMargins left="0.7" right="0.7" top="0.75" bottom="0.75" header="0.3" footer="0.3"/>
  <pageSetup scale="59" orientation="landscape" r:id="rId1"/>
</worksheet>
</file>

<file path=xl/worksheets/sheet31.xml><?xml version="1.0" encoding="utf-8"?>
<worksheet xmlns="http://schemas.openxmlformats.org/spreadsheetml/2006/main" xmlns:r="http://schemas.openxmlformats.org/officeDocument/2006/relationships">
  <dimension ref="B2:L56"/>
  <sheetViews>
    <sheetView view="pageBreakPreview" topLeftCell="A53" zoomScaleNormal="41" workbookViewId="0">
      <selection activeCell="G15" sqref="G15"/>
    </sheetView>
  </sheetViews>
  <sheetFormatPr defaultColWidth="8.85546875" defaultRowHeight="12.75"/>
  <cols>
    <col min="3" max="3" width="17.140625" customWidth="1"/>
    <col min="4" max="4" width="18.28515625" customWidth="1"/>
    <col min="5" max="5" width="19.7109375" customWidth="1"/>
    <col min="6" max="6" width="21.85546875" customWidth="1"/>
    <col min="7" max="7" width="36.28515625" customWidth="1"/>
    <col min="12" max="12" width="8.28515625" customWidth="1"/>
  </cols>
  <sheetData>
    <row r="2" spans="2:12" ht="14.25">
      <c r="G2" s="81" t="s">
        <v>0</v>
      </c>
    </row>
    <row r="3" spans="2:12" ht="14.25">
      <c r="G3" s="88" t="s">
        <v>1</v>
      </c>
    </row>
    <row r="4" spans="2:12" ht="14.25">
      <c r="G4" s="62" t="s">
        <v>602</v>
      </c>
    </row>
    <row r="6" spans="2:12" ht="39" customHeight="1">
      <c r="B6" s="343" t="s">
        <v>133</v>
      </c>
      <c r="C6" s="343"/>
      <c r="D6" s="344" t="s">
        <v>603</v>
      </c>
      <c r="E6" s="343" t="s">
        <v>604</v>
      </c>
      <c r="F6" s="343" t="s">
        <v>605</v>
      </c>
      <c r="G6" s="343" t="s">
        <v>606</v>
      </c>
    </row>
    <row r="7" spans="2:12" ht="62.1" customHeight="1">
      <c r="B7" s="1070">
        <v>1</v>
      </c>
      <c r="C7" s="1077" t="s">
        <v>607</v>
      </c>
      <c r="D7" s="1071" t="s">
        <v>608</v>
      </c>
      <c r="E7" s="1072">
        <v>80</v>
      </c>
      <c r="F7" s="1072"/>
      <c r="G7" s="195" t="s">
        <v>609</v>
      </c>
      <c r="L7" s="345"/>
    </row>
    <row r="8" spans="2:12" ht="56.1" customHeight="1">
      <c r="B8" s="1070"/>
      <c r="C8" s="1078"/>
      <c r="D8" s="1071"/>
      <c r="E8" s="1072"/>
      <c r="F8" s="1072"/>
      <c r="G8" s="1075" t="s">
        <v>610</v>
      </c>
      <c r="L8" s="345"/>
    </row>
    <row r="9" spans="2:12" ht="42" customHeight="1">
      <c r="B9" s="1070"/>
      <c r="C9" s="1078"/>
      <c r="D9" s="1071"/>
      <c r="E9" s="1072"/>
      <c r="F9" s="1072"/>
      <c r="G9" s="1075"/>
      <c r="L9" s="345"/>
    </row>
    <row r="10" spans="2:12" ht="28.35" customHeight="1">
      <c r="B10" s="1070"/>
      <c r="C10" s="1078"/>
      <c r="D10" s="1071"/>
      <c r="E10" s="1072"/>
      <c r="F10" s="1072"/>
      <c r="G10" s="1075"/>
    </row>
    <row r="11" spans="2:12" ht="17.100000000000001" customHeight="1">
      <c r="B11" s="1070"/>
      <c r="C11" s="1078"/>
      <c r="D11" s="1071"/>
      <c r="E11" s="1072"/>
      <c r="F11" s="1072"/>
      <c r="G11" s="1075"/>
    </row>
    <row r="12" spans="2:12" ht="55.5" customHeight="1">
      <c r="B12" s="1070">
        <v>2</v>
      </c>
      <c r="C12" s="1078"/>
      <c r="D12" s="1071" t="s">
        <v>611</v>
      </c>
      <c r="E12" s="1072">
        <v>80</v>
      </c>
      <c r="F12" s="1072"/>
      <c r="G12" s="195" t="s">
        <v>612</v>
      </c>
    </row>
    <row r="13" spans="2:12" ht="70.349999999999994" customHeight="1">
      <c r="B13" s="1070"/>
      <c r="C13" s="1078"/>
      <c r="D13" s="1071"/>
      <c r="E13" s="1072"/>
      <c r="F13" s="1072"/>
      <c r="G13" s="195" t="s">
        <v>613</v>
      </c>
    </row>
    <row r="14" spans="2:12" ht="68.099999999999994" customHeight="1">
      <c r="B14" s="1070">
        <v>3</v>
      </c>
      <c r="C14" s="1078"/>
      <c r="D14" s="1071" t="s">
        <v>614</v>
      </c>
      <c r="E14" s="1072">
        <v>80</v>
      </c>
      <c r="F14" s="1072"/>
      <c r="G14" s="195" t="s">
        <v>615</v>
      </c>
    </row>
    <row r="15" spans="2:12" ht="55.5" customHeight="1">
      <c r="B15" s="1070"/>
      <c r="C15" s="1078"/>
      <c r="D15" s="1071"/>
      <c r="E15" s="1072"/>
      <c r="F15" s="1072"/>
      <c r="G15" s="195" t="s">
        <v>616</v>
      </c>
    </row>
    <row r="16" spans="2:12" ht="47.85" customHeight="1">
      <c r="B16" s="1070">
        <v>4</v>
      </c>
      <c r="C16" s="1078"/>
      <c r="D16" s="1071" t="s">
        <v>617</v>
      </c>
      <c r="E16" s="1072">
        <v>80</v>
      </c>
      <c r="F16" s="1072"/>
      <c r="G16" s="195" t="s">
        <v>618</v>
      </c>
    </row>
    <row r="17" spans="2:12" ht="84" customHeight="1">
      <c r="B17" s="1070"/>
      <c r="C17" s="1078"/>
      <c r="D17" s="1071"/>
      <c r="E17" s="1072"/>
      <c r="F17" s="1072"/>
      <c r="G17" s="195" t="s">
        <v>619</v>
      </c>
    </row>
    <row r="18" spans="2:12" ht="67.5" customHeight="1">
      <c r="B18" s="1070">
        <v>5</v>
      </c>
      <c r="C18" s="1078"/>
      <c r="D18" s="1071" t="s">
        <v>620</v>
      </c>
      <c r="E18" s="1072">
        <v>80</v>
      </c>
      <c r="F18" s="1072"/>
      <c r="G18" s="195" t="s">
        <v>621</v>
      </c>
    </row>
    <row r="19" spans="2:12" ht="90" customHeight="1">
      <c r="B19" s="1070"/>
      <c r="C19" s="1079"/>
      <c r="D19" s="1071"/>
      <c r="E19" s="1072"/>
      <c r="F19" s="1072"/>
      <c r="G19" s="195" t="s">
        <v>622</v>
      </c>
    </row>
    <row r="20" spans="2:12" ht="14.25">
      <c r="B20" s="1073" t="s">
        <v>528</v>
      </c>
      <c r="C20" s="1073"/>
      <c r="D20" s="1073"/>
      <c r="E20" s="1074">
        <v>400</v>
      </c>
      <c r="F20" s="1074"/>
      <c r="G20" s="1074"/>
    </row>
    <row r="21" spans="2:12" ht="57" customHeight="1">
      <c r="B21" s="1070">
        <v>6</v>
      </c>
      <c r="C21" s="1077" t="s">
        <v>623</v>
      </c>
      <c r="D21" s="1071" t="s">
        <v>624</v>
      </c>
      <c r="E21" s="1070">
        <v>80</v>
      </c>
      <c r="F21" s="1070"/>
      <c r="G21" s="195" t="s">
        <v>625</v>
      </c>
    </row>
    <row r="22" spans="2:12" ht="28.35" customHeight="1">
      <c r="B22" s="1070"/>
      <c r="C22" s="1078"/>
      <c r="D22" s="1071"/>
      <c r="E22" s="1070"/>
      <c r="F22" s="1070"/>
      <c r="G22" s="1075" t="s">
        <v>626</v>
      </c>
      <c r="L22" s="345"/>
    </row>
    <row r="23" spans="2:12" ht="15">
      <c r="B23" s="1070"/>
      <c r="C23" s="1078"/>
      <c r="D23" s="1071"/>
      <c r="E23" s="1070"/>
      <c r="F23" s="1070"/>
      <c r="G23" s="1075"/>
      <c r="L23" s="346"/>
    </row>
    <row r="24" spans="2:12" ht="28.35" customHeight="1">
      <c r="B24" s="1070"/>
      <c r="C24" s="1078"/>
      <c r="D24" s="1071"/>
      <c r="E24" s="1070"/>
      <c r="F24" s="1070"/>
      <c r="G24" s="1075"/>
      <c r="L24" s="345"/>
    </row>
    <row r="25" spans="2:12" ht="8.85" customHeight="1">
      <c r="B25" s="1070"/>
      <c r="C25" s="1078"/>
      <c r="D25" s="1071"/>
      <c r="E25" s="1070"/>
      <c r="F25" s="1070"/>
      <c r="G25" s="1075"/>
    </row>
    <row r="26" spans="2:12" ht="45">
      <c r="B26" s="1070">
        <v>7</v>
      </c>
      <c r="C26" s="1078"/>
      <c r="D26" s="195" t="s">
        <v>627</v>
      </c>
      <c r="E26" s="1070">
        <v>120</v>
      </c>
      <c r="F26" s="1070"/>
      <c r="G26" s="195" t="s">
        <v>628</v>
      </c>
    </row>
    <row r="27" spans="2:12" ht="42" customHeight="1">
      <c r="B27" s="1070"/>
      <c r="C27" s="1078"/>
      <c r="D27" s="195" t="s">
        <v>629</v>
      </c>
      <c r="E27" s="1070"/>
      <c r="F27" s="1070"/>
      <c r="G27" s="1075" t="s">
        <v>630</v>
      </c>
    </row>
    <row r="28" spans="2:12" ht="30">
      <c r="B28" s="1070"/>
      <c r="C28" s="1078"/>
      <c r="D28" s="195" t="s">
        <v>631</v>
      </c>
      <c r="E28" s="1070"/>
      <c r="F28" s="1070"/>
      <c r="G28" s="1075"/>
      <c r="L28" s="345"/>
    </row>
    <row r="29" spans="2:12" ht="6.6" customHeight="1">
      <c r="B29" s="1070"/>
      <c r="C29" s="1079"/>
      <c r="D29" s="195" t="s">
        <v>632</v>
      </c>
      <c r="E29" s="1070"/>
      <c r="F29" s="1070"/>
      <c r="G29" s="1075"/>
    </row>
    <row r="30" spans="2:12" ht="14.25">
      <c r="B30" s="1073" t="s">
        <v>633</v>
      </c>
      <c r="C30" s="1073"/>
      <c r="D30" s="1073"/>
      <c r="E30" s="1074">
        <v>200</v>
      </c>
      <c r="F30" s="1074"/>
      <c r="G30" s="1074"/>
    </row>
    <row r="31" spans="2:12" ht="49.35" customHeight="1">
      <c r="B31" s="1070">
        <v>8</v>
      </c>
      <c r="C31" s="1077" t="s">
        <v>634</v>
      </c>
      <c r="D31" s="1071" t="s">
        <v>635</v>
      </c>
      <c r="E31" s="1070">
        <v>60</v>
      </c>
      <c r="F31" s="1070"/>
      <c r="G31" s="195" t="s">
        <v>636</v>
      </c>
    </row>
    <row r="32" spans="2:12" ht="42" customHeight="1">
      <c r="B32" s="1070"/>
      <c r="C32" s="1078"/>
      <c r="D32" s="1071"/>
      <c r="E32" s="1070"/>
      <c r="F32" s="1070"/>
      <c r="G32" s="1075" t="s">
        <v>637</v>
      </c>
    </row>
    <row r="33" spans="2:12" ht="15">
      <c r="B33" s="1070"/>
      <c r="C33" s="1078"/>
      <c r="D33" s="1071"/>
      <c r="E33" s="1070"/>
      <c r="F33" s="1070"/>
      <c r="G33" s="1075"/>
      <c r="L33" s="345"/>
    </row>
    <row r="34" spans="2:12" ht="50.1" customHeight="1">
      <c r="B34" s="1070">
        <v>9</v>
      </c>
      <c r="C34" s="1078"/>
      <c r="D34" s="1071" t="s">
        <v>638</v>
      </c>
      <c r="E34" s="1070">
        <v>60</v>
      </c>
      <c r="F34" s="1070"/>
      <c r="G34" s="195" t="s">
        <v>639</v>
      </c>
    </row>
    <row r="35" spans="2:12" ht="28.35" customHeight="1">
      <c r="B35" s="1070"/>
      <c r="C35" s="1078"/>
      <c r="D35" s="1071"/>
      <c r="E35" s="1070"/>
      <c r="F35" s="1070"/>
      <c r="G35" s="1075" t="s">
        <v>640</v>
      </c>
    </row>
    <row r="36" spans="2:12" ht="15">
      <c r="B36" s="1070"/>
      <c r="C36" s="1078"/>
      <c r="D36" s="1071"/>
      <c r="E36" s="1070"/>
      <c r="F36" s="1070"/>
      <c r="G36" s="1075"/>
      <c r="L36" s="345"/>
    </row>
    <row r="37" spans="2:12" ht="55.35" customHeight="1">
      <c r="B37" s="1070">
        <v>10</v>
      </c>
      <c r="C37" s="1078"/>
      <c r="D37" s="1071" t="s">
        <v>641</v>
      </c>
      <c r="E37" s="1070">
        <v>40</v>
      </c>
      <c r="F37" s="1070"/>
      <c r="G37" s="195" t="s">
        <v>642</v>
      </c>
    </row>
    <row r="38" spans="2:12" ht="87" customHeight="1">
      <c r="B38" s="1070"/>
      <c r="C38" s="1078"/>
      <c r="D38" s="1071"/>
      <c r="E38" s="1070"/>
      <c r="F38" s="1070"/>
      <c r="G38" s="195" t="s">
        <v>643</v>
      </c>
    </row>
    <row r="39" spans="2:12" ht="32.1" customHeight="1">
      <c r="B39" s="1070">
        <v>11</v>
      </c>
      <c r="C39" s="1078"/>
      <c r="D39" s="1071" t="s">
        <v>644</v>
      </c>
      <c r="E39" s="1070">
        <v>40</v>
      </c>
      <c r="F39" s="1070"/>
      <c r="G39" s="195" t="s">
        <v>645</v>
      </c>
    </row>
    <row r="40" spans="2:12" ht="84" customHeight="1">
      <c r="B40" s="1070"/>
      <c r="C40" s="1079"/>
      <c r="D40" s="1071"/>
      <c r="E40" s="1070"/>
      <c r="F40" s="1070"/>
      <c r="G40" s="195" t="s">
        <v>646</v>
      </c>
    </row>
    <row r="41" spans="2:12" ht="14.25">
      <c r="B41" s="1073" t="s">
        <v>633</v>
      </c>
      <c r="C41" s="1073"/>
      <c r="D41" s="1073"/>
      <c r="E41" s="1074">
        <v>200</v>
      </c>
      <c r="F41" s="1074"/>
      <c r="G41" s="1074"/>
    </row>
    <row r="42" spans="2:12" ht="42" customHeight="1">
      <c r="B42" s="1070">
        <v>12</v>
      </c>
      <c r="C42" s="1077" t="s">
        <v>647</v>
      </c>
      <c r="D42" s="1071" t="s">
        <v>648</v>
      </c>
      <c r="E42" s="1070">
        <v>80</v>
      </c>
      <c r="F42" s="1070"/>
      <c r="G42" s="195" t="s">
        <v>609</v>
      </c>
    </row>
    <row r="43" spans="2:12" ht="98.1" customHeight="1">
      <c r="B43" s="1070"/>
      <c r="C43" s="1078"/>
      <c r="D43" s="1071"/>
      <c r="E43" s="1070"/>
      <c r="F43" s="1070"/>
      <c r="G43" s="1075" t="s">
        <v>649</v>
      </c>
      <c r="L43" s="345"/>
    </row>
    <row r="44" spans="2:12" ht="11.85" customHeight="1">
      <c r="B44" s="1070"/>
      <c r="C44" s="1078"/>
      <c r="D44" s="1071"/>
      <c r="E44" s="1070"/>
      <c r="F44" s="1070"/>
      <c r="G44" s="1075"/>
      <c r="L44" s="345"/>
    </row>
    <row r="45" spans="2:12" ht="14.1" hidden="1" customHeight="1" thickBot="1">
      <c r="B45" s="1070"/>
      <c r="C45" s="1078"/>
      <c r="D45" s="1071"/>
      <c r="E45" s="1070"/>
      <c r="F45" s="1070"/>
      <c r="G45" s="1075"/>
      <c r="L45" s="345"/>
    </row>
    <row r="46" spans="2:12" ht="98.1" hidden="1" customHeight="1" thickBot="1">
      <c r="B46" s="1070"/>
      <c r="C46" s="1078"/>
      <c r="D46" s="1071"/>
      <c r="E46" s="1070"/>
      <c r="F46" s="1070"/>
      <c r="G46" s="1075"/>
    </row>
    <row r="47" spans="2:12" ht="55.35" customHeight="1">
      <c r="B47" s="1070">
        <v>13</v>
      </c>
      <c r="C47" s="1078"/>
      <c r="D47" s="1071" t="s">
        <v>650</v>
      </c>
      <c r="E47" s="1070">
        <v>60</v>
      </c>
      <c r="F47" s="1070"/>
      <c r="G47" s="195" t="s">
        <v>651</v>
      </c>
    </row>
    <row r="48" spans="2:12" ht="70.349999999999994" customHeight="1">
      <c r="B48" s="1070"/>
      <c r="C48" s="1078"/>
      <c r="D48" s="1071"/>
      <c r="E48" s="1070"/>
      <c r="F48" s="1070"/>
      <c r="G48" s="1075" t="s">
        <v>652</v>
      </c>
      <c r="L48" s="345"/>
    </row>
    <row r="49" spans="2:7" ht="8.85" customHeight="1">
      <c r="B49" s="1070"/>
      <c r="C49" s="1078"/>
      <c r="D49" s="1071"/>
      <c r="E49" s="1070"/>
      <c r="F49" s="1070"/>
      <c r="G49" s="1075"/>
    </row>
    <row r="50" spans="2:7" ht="35.85" customHeight="1">
      <c r="B50" s="1070">
        <v>14</v>
      </c>
      <c r="C50" s="1078"/>
      <c r="D50" s="1071" t="s">
        <v>653</v>
      </c>
      <c r="E50" s="1070">
        <v>20</v>
      </c>
      <c r="F50" s="1080"/>
      <c r="G50" s="195" t="s">
        <v>654</v>
      </c>
    </row>
    <row r="51" spans="2:7" ht="56.1" customHeight="1">
      <c r="B51" s="1070"/>
      <c r="C51" s="1078"/>
      <c r="D51" s="1071"/>
      <c r="E51" s="1070"/>
      <c r="F51" s="1081"/>
      <c r="G51" s="1075" t="s">
        <v>655</v>
      </c>
    </row>
    <row r="52" spans="2:7" ht="28.35" customHeight="1">
      <c r="B52" s="1070"/>
      <c r="C52" s="1078"/>
      <c r="D52" s="1071"/>
      <c r="E52" s="1070"/>
      <c r="F52" s="1082"/>
      <c r="G52" s="1075"/>
    </row>
    <row r="53" spans="2:7" ht="43.35" customHeight="1">
      <c r="B53" s="1070">
        <v>15</v>
      </c>
      <c r="C53" s="1078"/>
      <c r="D53" s="1071" t="s">
        <v>656</v>
      </c>
      <c r="E53" s="1070">
        <v>40</v>
      </c>
      <c r="F53" s="1070"/>
      <c r="G53" s="195" t="s">
        <v>657</v>
      </c>
    </row>
    <row r="54" spans="2:7" ht="56.1" customHeight="1">
      <c r="B54" s="1070"/>
      <c r="C54" s="1079"/>
      <c r="D54" s="1071"/>
      <c r="E54" s="1070"/>
      <c r="F54" s="1070"/>
      <c r="G54" s="195" t="s">
        <v>658</v>
      </c>
    </row>
    <row r="55" spans="2:7" ht="14.25">
      <c r="B55" s="1073" t="s">
        <v>633</v>
      </c>
      <c r="C55" s="1073"/>
      <c r="D55" s="1073"/>
      <c r="E55" s="1074">
        <v>200</v>
      </c>
      <c r="F55" s="1074"/>
      <c r="G55" s="1074"/>
    </row>
    <row r="56" spans="2:7" ht="14.25">
      <c r="B56" s="1076" t="s">
        <v>235</v>
      </c>
      <c r="C56" s="1076"/>
      <c r="D56" s="1076"/>
      <c r="E56" s="1076">
        <v>1000</v>
      </c>
      <c r="F56" s="1076"/>
      <c r="G56" s="1076"/>
    </row>
  </sheetData>
  <mergeCells count="81">
    <mergeCell ref="G51:G52"/>
    <mergeCell ref="G32:G33"/>
    <mergeCell ref="G35:G36"/>
    <mergeCell ref="C7:C19"/>
    <mergeCell ref="C21:C29"/>
    <mergeCell ref="C31:C40"/>
    <mergeCell ref="F21:F25"/>
    <mergeCell ref="G27:G29"/>
    <mergeCell ref="F26:F29"/>
    <mergeCell ref="F50:F52"/>
    <mergeCell ref="C42:C54"/>
    <mergeCell ref="F34:F36"/>
    <mergeCell ref="F37:F38"/>
    <mergeCell ref="F39:F40"/>
    <mergeCell ref="D50:D52"/>
    <mergeCell ref="E50:E52"/>
    <mergeCell ref="B56:D56"/>
    <mergeCell ref="E56:G56"/>
    <mergeCell ref="G8:G11"/>
    <mergeCell ref="F7:F11"/>
    <mergeCell ref="F12:F13"/>
    <mergeCell ref="F14:F15"/>
    <mergeCell ref="F16:F17"/>
    <mergeCell ref="F18:F19"/>
    <mergeCell ref="G22:G25"/>
    <mergeCell ref="B53:B54"/>
    <mergeCell ref="D53:D54"/>
    <mergeCell ref="E53:E54"/>
    <mergeCell ref="B55:D55"/>
    <mergeCell ref="E55:G55"/>
    <mergeCell ref="F53:F54"/>
    <mergeCell ref="B50:B52"/>
    <mergeCell ref="B47:B49"/>
    <mergeCell ref="D47:D49"/>
    <mergeCell ref="E47:E49"/>
    <mergeCell ref="B41:D41"/>
    <mergeCell ref="E41:G41"/>
    <mergeCell ref="B42:B46"/>
    <mergeCell ref="D42:D46"/>
    <mergeCell ref="E42:E46"/>
    <mergeCell ref="G43:G46"/>
    <mergeCell ref="F42:F46"/>
    <mergeCell ref="G48:G49"/>
    <mergeCell ref="F47:F49"/>
    <mergeCell ref="B37:B38"/>
    <mergeCell ref="D37:D38"/>
    <mergeCell ref="E37:E38"/>
    <mergeCell ref="B39:B40"/>
    <mergeCell ref="D39:D40"/>
    <mergeCell ref="E39:E40"/>
    <mergeCell ref="B34:B36"/>
    <mergeCell ref="D34:D36"/>
    <mergeCell ref="E34:E36"/>
    <mergeCell ref="B30:D30"/>
    <mergeCell ref="E30:G30"/>
    <mergeCell ref="B31:B33"/>
    <mergeCell ref="D31:D33"/>
    <mergeCell ref="E31:E33"/>
    <mergeCell ref="F31:F33"/>
    <mergeCell ref="B18:B19"/>
    <mergeCell ref="D18:D19"/>
    <mergeCell ref="E18:E19"/>
    <mergeCell ref="B26:B29"/>
    <mergeCell ref="E26:E29"/>
    <mergeCell ref="B20:D20"/>
    <mergeCell ref="E20:G20"/>
    <mergeCell ref="B21:B25"/>
    <mergeCell ref="D21:D25"/>
    <mergeCell ref="E21:E25"/>
    <mergeCell ref="B14:B15"/>
    <mergeCell ref="D14:D15"/>
    <mergeCell ref="E14:E15"/>
    <mergeCell ref="B16:B17"/>
    <mergeCell ref="D16:D17"/>
    <mergeCell ref="E16:E17"/>
    <mergeCell ref="B7:B11"/>
    <mergeCell ref="D7:D11"/>
    <mergeCell ref="E7:E11"/>
    <mergeCell ref="B12:B13"/>
    <mergeCell ref="D12:D13"/>
    <mergeCell ref="E12:E13"/>
  </mergeCells>
  <pageMargins left="0.7" right="0.7" top="0.75" bottom="0.75" header="0.3" footer="0.3"/>
  <pageSetup scale="44" pageOrder="overThenDown" orientation="landscape" r:id="rId1"/>
  <rowBreaks count="1" manualBreakCount="1">
    <brk id="30" max="16383" man="1"/>
  </rowBreaks>
</worksheet>
</file>

<file path=xl/worksheets/sheet32.xml><?xml version="1.0" encoding="utf-8"?>
<worksheet xmlns="http://schemas.openxmlformats.org/spreadsheetml/2006/main" xmlns:r="http://schemas.openxmlformats.org/officeDocument/2006/relationships">
  <dimension ref="A1:P80"/>
  <sheetViews>
    <sheetView view="pageBreakPreview" zoomScale="60" zoomScaleNormal="97" workbookViewId="0">
      <selection activeCell="O88" sqref="O88"/>
    </sheetView>
  </sheetViews>
  <sheetFormatPr defaultColWidth="8.85546875" defaultRowHeight="12.75"/>
  <cols>
    <col min="3" max="3" width="33.7109375" customWidth="1"/>
    <col min="4" max="4" width="13.42578125" customWidth="1"/>
    <col min="16" max="16" width="16.7109375" customWidth="1"/>
  </cols>
  <sheetData>
    <row r="1" spans="1:16" ht="14.25">
      <c r="F1" s="81" t="s">
        <v>0</v>
      </c>
    </row>
    <row r="2" spans="1:16" ht="14.25">
      <c r="F2" s="88" t="s">
        <v>1</v>
      </c>
    </row>
    <row r="3" spans="1:16" ht="14.25">
      <c r="F3" s="62" t="s">
        <v>659</v>
      </c>
    </row>
    <row r="5" spans="1:16">
      <c r="A5" s="310" t="s">
        <v>660</v>
      </c>
    </row>
    <row r="6" spans="1:16">
      <c r="B6" s="310"/>
    </row>
    <row r="7" spans="1:16">
      <c r="C7" s="310" t="s">
        <v>661</v>
      </c>
    </row>
    <row r="8" spans="1:16" s="1" customFormat="1" ht="15">
      <c r="B8" s="182" t="s">
        <v>2</v>
      </c>
      <c r="C8" s="182" t="s">
        <v>57</v>
      </c>
      <c r="D8" s="183" t="s">
        <v>470</v>
      </c>
      <c r="E8" s="183" t="s">
        <v>471</v>
      </c>
      <c r="F8" s="183" t="s">
        <v>472</v>
      </c>
      <c r="G8" s="183" t="s">
        <v>473</v>
      </c>
      <c r="H8" s="183" t="s">
        <v>474</v>
      </c>
      <c r="I8" s="183" t="s">
        <v>475</v>
      </c>
      <c r="J8" s="183" t="s">
        <v>476</v>
      </c>
      <c r="K8" s="183" t="s">
        <v>477</v>
      </c>
      <c r="L8" s="183" t="s">
        <v>478</v>
      </c>
      <c r="M8" s="183" t="s">
        <v>479</v>
      </c>
      <c r="N8" s="183" t="s">
        <v>480</v>
      </c>
      <c r="O8" s="183" t="s">
        <v>481</v>
      </c>
      <c r="P8" s="183" t="s">
        <v>235</v>
      </c>
    </row>
    <row r="9" spans="1:16" ht="25.5">
      <c r="B9" s="937">
        <v>1</v>
      </c>
      <c r="C9" s="938" t="s">
        <v>662</v>
      </c>
      <c r="D9" s="939"/>
      <c r="E9" s="939"/>
      <c r="F9" s="939"/>
      <c r="G9" s="939"/>
      <c r="H9" s="939"/>
      <c r="I9" s="939"/>
      <c r="J9" s="939"/>
      <c r="K9" s="939"/>
      <c r="L9" s="939"/>
      <c r="M9" s="939"/>
      <c r="N9" s="939"/>
      <c r="O9" s="939"/>
      <c r="P9" s="939"/>
    </row>
    <row r="10" spans="1:16" ht="38.25">
      <c r="B10" s="937">
        <v>2</v>
      </c>
      <c r="C10" s="938" t="s">
        <v>663</v>
      </c>
      <c r="D10" s="939"/>
      <c r="E10" s="939"/>
      <c r="F10" s="939"/>
      <c r="G10" s="939"/>
      <c r="H10" s="939"/>
      <c r="I10" s="939"/>
      <c r="J10" s="939"/>
      <c r="K10" s="939"/>
      <c r="L10" s="939"/>
      <c r="M10" s="939"/>
      <c r="N10" s="939"/>
      <c r="O10" s="939"/>
      <c r="P10" s="939"/>
    </row>
    <row r="11" spans="1:16" ht="38.25">
      <c r="B11" s="937">
        <v>3</v>
      </c>
      <c r="C11" s="938" t="s">
        <v>664</v>
      </c>
      <c r="D11" s="939"/>
      <c r="E11" s="939"/>
      <c r="F11" s="939"/>
      <c r="G11" s="939"/>
      <c r="H11" s="939"/>
      <c r="I11" s="939"/>
      <c r="J11" s="939"/>
      <c r="K11" s="939"/>
      <c r="L11" s="939"/>
      <c r="M11" s="939"/>
      <c r="N11" s="939"/>
      <c r="O11" s="939"/>
      <c r="P11" s="939"/>
    </row>
    <row r="14" spans="1:16">
      <c r="C14" s="310" t="s">
        <v>665</v>
      </c>
    </row>
    <row r="15" spans="1:16" s="1" customFormat="1" ht="15">
      <c r="B15" s="940" t="s">
        <v>2</v>
      </c>
      <c r="C15" s="940" t="s">
        <v>57</v>
      </c>
      <c r="D15" s="941" t="s">
        <v>470</v>
      </c>
      <c r="E15" s="941" t="s">
        <v>471</v>
      </c>
      <c r="F15" s="941" t="s">
        <v>472</v>
      </c>
      <c r="G15" s="941" t="s">
        <v>473</v>
      </c>
      <c r="H15" s="941" t="s">
        <v>474</v>
      </c>
      <c r="I15" s="941" t="s">
        <v>475</v>
      </c>
      <c r="J15" s="941" t="s">
        <v>476</v>
      </c>
      <c r="K15" s="941" t="s">
        <v>477</v>
      </c>
      <c r="L15" s="941" t="s">
        <v>478</v>
      </c>
      <c r="M15" s="941" t="s">
        <v>479</v>
      </c>
      <c r="N15" s="941" t="s">
        <v>480</v>
      </c>
      <c r="O15" s="941" t="s">
        <v>481</v>
      </c>
      <c r="P15" s="941" t="s">
        <v>235</v>
      </c>
    </row>
    <row r="16" spans="1:16" ht="25.5">
      <c r="B16" s="939">
        <v>1</v>
      </c>
      <c r="C16" s="938" t="s">
        <v>662</v>
      </c>
      <c r="D16" s="939"/>
      <c r="E16" s="939"/>
      <c r="F16" s="939"/>
      <c r="G16" s="939"/>
      <c r="H16" s="939"/>
      <c r="I16" s="939"/>
      <c r="J16" s="939"/>
      <c r="K16" s="939"/>
      <c r="L16" s="939"/>
      <c r="M16" s="939"/>
      <c r="N16" s="939"/>
      <c r="O16" s="939"/>
      <c r="P16" s="939"/>
    </row>
    <row r="17" spans="2:16" ht="38.25">
      <c r="B17" s="939">
        <v>2</v>
      </c>
      <c r="C17" s="938" t="s">
        <v>663</v>
      </c>
      <c r="D17" s="939"/>
      <c r="E17" s="939"/>
      <c r="F17" s="939"/>
      <c r="G17" s="939"/>
      <c r="H17" s="939"/>
      <c r="I17" s="939"/>
      <c r="J17" s="939"/>
      <c r="K17" s="939"/>
      <c r="L17" s="939"/>
      <c r="M17" s="939"/>
      <c r="N17" s="939"/>
      <c r="O17" s="939"/>
      <c r="P17" s="939"/>
    </row>
    <row r="18" spans="2:16" ht="38.25">
      <c r="B18" s="939">
        <v>3</v>
      </c>
      <c r="C18" s="938" t="s">
        <v>664</v>
      </c>
      <c r="D18" s="939"/>
      <c r="E18" s="939"/>
      <c r="F18" s="939"/>
      <c r="G18" s="939"/>
      <c r="H18" s="939"/>
      <c r="I18" s="939"/>
      <c r="J18" s="939"/>
      <c r="K18" s="939"/>
      <c r="L18" s="939"/>
      <c r="M18" s="939"/>
      <c r="N18" s="939"/>
      <c r="O18" s="939"/>
      <c r="P18" s="939"/>
    </row>
    <row r="21" spans="2:16">
      <c r="C21" s="310" t="s">
        <v>666</v>
      </c>
    </row>
    <row r="22" spans="2:16" s="1" customFormat="1" ht="15">
      <c r="B22" s="940" t="s">
        <v>2</v>
      </c>
      <c r="C22" s="940" t="s">
        <v>57</v>
      </c>
      <c r="D22" s="941" t="s">
        <v>470</v>
      </c>
      <c r="E22" s="941" t="s">
        <v>471</v>
      </c>
      <c r="F22" s="941" t="s">
        <v>472</v>
      </c>
      <c r="G22" s="941" t="s">
        <v>473</v>
      </c>
      <c r="H22" s="941" t="s">
        <v>474</v>
      </c>
      <c r="I22" s="941" t="s">
        <v>475</v>
      </c>
      <c r="J22" s="941" t="s">
        <v>476</v>
      </c>
      <c r="K22" s="941" t="s">
        <v>477</v>
      </c>
      <c r="L22" s="941" t="s">
        <v>478</v>
      </c>
      <c r="M22" s="941" t="s">
        <v>479</v>
      </c>
      <c r="N22" s="941" t="s">
        <v>480</v>
      </c>
      <c r="O22" s="941" t="s">
        <v>481</v>
      </c>
      <c r="P22" s="941" t="s">
        <v>235</v>
      </c>
    </row>
    <row r="23" spans="2:16" ht="25.5">
      <c r="B23" s="939">
        <v>1</v>
      </c>
      <c r="C23" s="938" t="s">
        <v>662</v>
      </c>
      <c r="D23" s="939"/>
      <c r="E23" s="939"/>
      <c r="F23" s="939"/>
      <c r="G23" s="939"/>
      <c r="H23" s="939"/>
      <c r="I23" s="939"/>
      <c r="J23" s="939"/>
      <c r="K23" s="939"/>
      <c r="L23" s="939"/>
      <c r="M23" s="939"/>
      <c r="N23" s="939"/>
      <c r="O23" s="939"/>
      <c r="P23" s="939"/>
    </row>
    <row r="24" spans="2:16" ht="38.25">
      <c r="B24" s="939">
        <v>2</v>
      </c>
      <c r="C24" s="938" t="s">
        <v>663</v>
      </c>
      <c r="D24" s="939"/>
      <c r="E24" s="939"/>
      <c r="F24" s="939"/>
      <c r="G24" s="939"/>
      <c r="H24" s="939"/>
      <c r="I24" s="939"/>
      <c r="J24" s="939"/>
      <c r="K24" s="939"/>
      <c r="L24" s="939"/>
      <c r="M24" s="939"/>
      <c r="N24" s="939"/>
      <c r="O24" s="939"/>
      <c r="P24" s="939"/>
    </row>
    <row r="25" spans="2:16" ht="38.25">
      <c r="B25" s="939">
        <v>3</v>
      </c>
      <c r="C25" s="938" t="s">
        <v>664</v>
      </c>
      <c r="D25" s="939"/>
      <c r="E25" s="939"/>
      <c r="F25" s="939"/>
      <c r="G25" s="939"/>
      <c r="H25" s="939"/>
      <c r="I25" s="939"/>
      <c r="J25" s="939"/>
      <c r="K25" s="939"/>
      <c r="L25" s="939"/>
      <c r="M25" s="939"/>
      <c r="N25" s="939"/>
      <c r="O25" s="939"/>
      <c r="P25" s="939"/>
    </row>
    <row r="28" spans="2:16">
      <c r="C28" s="310" t="s">
        <v>667</v>
      </c>
    </row>
    <row r="29" spans="2:16" s="1" customFormat="1" ht="15">
      <c r="B29" s="182" t="s">
        <v>2</v>
      </c>
      <c r="C29" s="182" t="s">
        <v>57</v>
      </c>
      <c r="D29" s="183" t="s">
        <v>470</v>
      </c>
      <c r="E29" s="183" t="s">
        <v>471</v>
      </c>
      <c r="F29" s="183" t="s">
        <v>472</v>
      </c>
      <c r="G29" s="183" t="s">
        <v>473</v>
      </c>
      <c r="H29" s="183" t="s">
        <v>474</v>
      </c>
      <c r="I29" s="183" t="s">
        <v>475</v>
      </c>
      <c r="J29" s="183" t="s">
        <v>476</v>
      </c>
      <c r="K29" s="183" t="s">
        <v>477</v>
      </c>
      <c r="L29" s="183" t="s">
        <v>478</v>
      </c>
      <c r="M29" s="183" t="s">
        <v>479</v>
      </c>
      <c r="N29" s="183" t="s">
        <v>480</v>
      </c>
      <c r="O29" s="183" t="s">
        <v>481</v>
      </c>
      <c r="P29" s="183" t="s">
        <v>235</v>
      </c>
    </row>
    <row r="30" spans="2:16" ht="25.5">
      <c r="B30" s="939">
        <v>1</v>
      </c>
      <c r="C30" s="938" t="s">
        <v>662</v>
      </c>
      <c r="D30" s="939"/>
      <c r="E30" s="939"/>
      <c r="F30" s="939"/>
      <c r="G30" s="939"/>
      <c r="H30" s="939"/>
      <c r="I30" s="939"/>
      <c r="J30" s="939"/>
      <c r="K30" s="939"/>
      <c r="L30" s="939"/>
      <c r="M30" s="939"/>
      <c r="N30" s="939"/>
      <c r="O30" s="939"/>
      <c r="P30" s="939"/>
    </row>
    <row r="31" spans="2:16" ht="38.25">
      <c r="B31" s="939">
        <v>2</v>
      </c>
      <c r="C31" s="938" t="s">
        <v>663</v>
      </c>
      <c r="D31" s="939"/>
      <c r="E31" s="939"/>
      <c r="F31" s="939"/>
      <c r="G31" s="939"/>
      <c r="H31" s="939"/>
      <c r="I31" s="939"/>
      <c r="J31" s="939"/>
      <c r="K31" s="939"/>
      <c r="L31" s="939"/>
      <c r="M31" s="939"/>
      <c r="N31" s="939"/>
      <c r="O31" s="939"/>
      <c r="P31" s="939"/>
    </row>
    <row r="32" spans="2:16" ht="38.25">
      <c r="B32" s="939">
        <v>3</v>
      </c>
      <c r="C32" s="938" t="s">
        <v>664</v>
      </c>
      <c r="D32" s="939"/>
      <c r="E32" s="939"/>
      <c r="F32" s="939"/>
      <c r="G32" s="939"/>
      <c r="H32" s="939"/>
      <c r="I32" s="939"/>
      <c r="J32" s="939"/>
      <c r="K32" s="939"/>
      <c r="L32" s="939"/>
      <c r="M32" s="939"/>
      <c r="N32" s="939"/>
      <c r="O32" s="939"/>
      <c r="P32" s="939"/>
    </row>
    <row r="35" spans="1:16">
      <c r="C35" s="310" t="s">
        <v>668</v>
      </c>
    </row>
    <row r="36" spans="1:16" s="1" customFormat="1" ht="15">
      <c r="B36" s="182" t="s">
        <v>2</v>
      </c>
      <c r="C36" s="182" t="s">
        <v>57</v>
      </c>
      <c r="D36" s="183" t="s">
        <v>470</v>
      </c>
      <c r="E36" s="183" t="s">
        <v>471</v>
      </c>
      <c r="F36" s="183" t="s">
        <v>472</v>
      </c>
      <c r="G36" s="183" t="s">
        <v>473</v>
      </c>
      <c r="H36" s="183" t="s">
        <v>474</v>
      </c>
      <c r="I36" s="183" t="s">
        <v>475</v>
      </c>
      <c r="J36" s="183" t="s">
        <v>476</v>
      </c>
      <c r="K36" s="183" t="s">
        <v>477</v>
      </c>
      <c r="L36" s="183" t="s">
        <v>478</v>
      </c>
      <c r="M36" s="183" t="s">
        <v>479</v>
      </c>
      <c r="N36" s="183" t="s">
        <v>480</v>
      </c>
      <c r="O36" s="183" t="s">
        <v>481</v>
      </c>
      <c r="P36" s="183" t="s">
        <v>235</v>
      </c>
    </row>
    <row r="37" spans="1:16" ht="25.5">
      <c r="B37" s="939">
        <v>1</v>
      </c>
      <c r="C37" s="938" t="s">
        <v>662</v>
      </c>
      <c r="D37" s="939"/>
      <c r="E37" s="939"/>
      <c r="F37" s="939"/>
      <c r="G37" s="939"/>
      <c r="H37" s="939"/>
      <c r="I37" s="939"/>
      <c r="J37" s="942"/>
      <c r="K37" s="942"/>
      <c r="L37" s="942"/>
      <c r="M37" s="942"/>
      <c r="N37" s="942"/>
      <c r="O37" s="942"/>
      <c r="P37" s="939"/>
    </row>
    <row r="38" spans="1:16" ht="38.25">
      <c r="B38" s="939">
        <v>2</v>
      </c>
      <c r="C38" s="938" t="s">
        <v>663</v>
      </c>
      <c r="D38" s="939"/>
      <c r="E38" s="939"/>
      <c r="F38" s="939"/>
      <c r="G38" s="939"/>
      <c r="H38" s="939"/>
      <c r="I38" s="939"/>
      <c r="J38" s="942"/>
      <c r="K38" s="942"/>
      <c r="L38" s="942"/>
      <c r="M38" s="942"/>
      <c r="N38" s="942"/>
      <c r="O38" s="942"/>
      <c r="P38" s="939"/>
    </row>
    <row r="39" spans="1:16" ht="38.25">
      <c r="B39" s="939">
        <v>3</v>
      </c>
      <c r="C39" s="938" t="s">
        <v>664</v>
      </c>
      <c r="D39" s="939"/>
      <c r="E39" s="939"/>
      <c r="F39" s="939"/>
      <c r="G39" s="939"/>
      <c r="H39" s="939"/>
      <c r="I39" s="939"/>
      <c r="J39" s="942"/>
      <c r="K39" s="942"/>
      <c r="L39" s="942"/>
      <c r="M39" s="942"/>
      <c r="N39" s="942"/>
      <c r="O39" s="942"/>
      <c r="P39" s="939"/>
    </row>
    <row r="41" spans="1:16">
      <c r="A41" s="310" t="s">
        <v>669</v>
      </c>
    </row>
    <row r="42" spans="1:16" ht="28.5">
      <c r="B42" s="198" t="s">
        <v>2</v>
      </c>
      <c r="C42" s="198" t="s">
        <v>57</v>
      </c>
      <c r="D42" s="199" t="s">
        <v>70</v>
      </c>
      <c r="E42" s="198" t="s">
        <v>71</v>
      </c>
      <c r="F42" s="198" t="s">
        <v>72</v>
      </c>
      <c r="G42" s="198" t="s">
        <v>73</v>
      </c>
      <c r="H42" s="198" t="s">
        <v>74</v>
      </c>
    </row>
    <row r="43" spans="1:16" ht="45">
      <c r="B43" s="220">
        <v>1</v>
      </c>
      <c r="C43" s="330" t="s">
        <v>670</v>
      </c>
      <c r="D43" s="65"/>
      <c r="E43" s="64"/>
      <c r="F43" s="328"/>
      <c r="G43" s="328"/>
      <c r="H43" s="64"/>
    </row>
    <row r="44" spans="1:16" ht="45">
      <c r="B44" s="220">
        <f>B43+1</f>
        <v>2</v>
      </c>
      <c r="C44" s="330" t="s">
        <v>671</v>
      </c>
      <c r="D44" s="65"/>
      <c r="E44" s="64"/>
      <c r="F44" s="328"/>
      <c r="G44" s="328"/>
      <c r="H44" s="64"/>
    </row>
    <row r="46" spans="1:16">
      <c r="A46" s="310" t="s">
        <v>672</v>
      </c>
    </row>
    <row r="47" spans="1:16">
      <c r="B47" s="310"/>
      <c r="C47" s="301" t="s">
        <v>661</v>
      </c>
    </row>
    <row r="48" spans="1:16" s="1" customFormat="1" ht="15">
      <c r="B48" s="182" t="s">
        <v>2</v>
      </c>
      <c r="C48" s="182" t="s">
        <v>57</v>
      </c>
      <c r="D48" s="183" t="s">
        <v>470</v>
      </c>
      <c r="E48" s="183" t="s">
        <v>471</v>
      </c>
      <c r="F48" s="183" t="s">
        <v>472</v>
      </c>
      <c r="G48" s="183" t="s">
        <v>473</v>
      </c>
      <c r="H48" s="183" t="s">
        <v>474</v>
      </c>
      <c r="I48" s="183" t="s">
        <v>475</v>
      </c>
      <c r="J48" s="183" t="s">
        <v>476</v>
      </c>
      <c r="K48" s="183" t="s">
        <v>477</v>
      </c>
      <c r="L48" s="183" t="s">
        <v>478</v>
      </c>
      <c r="M48" s="183" t="s">
        <v>479</v>
      </c>
      <c r="N48" s="183" t="s">
        <v>480</v>
      </c>
      <c r="O48" s="183" t="s">
        <v>481</v>
      </c>
      <c r="P48" s="183" t="s">
        <v>235</v>
      </c>
    </row>
    <row r="49" spans="2:16" ht="38.25">
      <c r="B49" s="331">
        <v>1</v>
      </c>
      <c r="C49" s="332" t="s">
        <v>673</v>
      </c>
      <c r="D49" s="333"/>
      <c r="E49" s="300"/>
      <c r="F49" s="300"/>
      <c r="G49" s="300"/>
      <c r="H49" s="300"/>
      <c r="I49" s="300"/>
      <c r="J49" s="300"/>
      <c r="K49" s="300"/>
      <c r="L49" s="300"/>
      <c r="M49" s="300"/>
      <c r="N49" s="300"/>
      <c r="O49" s="300"/>
      <c r="P49" s="300"/>
    </row>
    <row r="51" spans="2:16">
      <c r="B51" s="310"/>
      <c r="C51" s="301" t="s">
        <v>665</v>
      </c>
    </row>
    <row r="52" spans="2:16" s="1" customFormat="1" ht="15">
      <c r="B52" s="182" t="s">
        <v>2</v>
      </c>
      <c r="C52" s="182" t="s">
        <v>57</v>
      </c>
      <c r="D52" s="183" t="s">
        <v>470</v>
      </c>
      <c r="E52" s="183" t="s">
        <v>471</v>
      </c>
      <c r="F52" s="183" t="s">
        <v>472</v>
      </c>
      <c r="G52" s="183" t="s">
        <v>473</v>
      </c>
      <c r="H52" s="183" t="s">
        <v>474</v>
      </c>
      <c r="I52" s="183" t="s">
        <v>475</v>
      </c>
      <c r="J52" s="183" t="s">
        <v>476</v>
      </c>
      <c r="K52" s="183" t="s">
        <v>477</v>
      </c>
      <c r="L52" s="183" t="s">
        <v>478</v>
      </c>
      <c r="M52" s="183" t="s">
        <v>479</v>
      </c>
      <c r="N52" s="183" t="s">
        <v>480</v>
      </c>
      <c r="O52" s="183" t="s">
        <v>481</v>
      </c>
      <c r="P52" s="183" t="s">
        <v>235</v>
      </c>
    </row>
    <row r="53" spans="2:16" ht="38.25">
      <c r="B53" s="331">
        <v>1</v>
      </c>
      <c r="C53" s="332" t="s">
        <v>673</v>
      </c>
      <c r="D53" s="300"/>
      <c r="E53" s="300"/>
      <c r="F53" s="300"/>
      <c r="G53" s="300"/>
      <c r="H53" s="300"/>
      <c r="I53" s="300"/>
      <c r="J53" s="300"/>
      <c r="K53" s="300"/>
      <c r="L53" s="300"/>
      <c r="M53" s="300"/>
      <c r="N53" s="300"/>
      <c r="O53" s="300"/>
      <c r="P53" s="300"/>
    </row>
    <row r="55" spans="2:16">
      <c r="B55" s="310"/>
      <c r="C55" s="301" t="s">
        <v>666</v>
      </c>
    </row>
    <row r="56" spans="2:16" s="1" customFormat="1" ht="15">
      <c r="B56" s="182" t="s">
        <v>2</v>
      </c>
      <c r="C56" s="182" t="s">
        <v>57</v>
      </c>
      <c r="D56" s="183" t="s">
        <v>470</v>
      </c>
      <c r="E56" s="183" t="s">
        <v>471</v>
      </c>
      <c r="F56" s="183" t="s">
        <v>472</v>
      </c>
      <c r="G56" s="183" t="s">
        <v>473</v>
      </c>
      <c r="H56" s="183" t="s">
        <v>474</v>
      </c>
      <c r="I56" s="183" t="s">
        <v>475</v>
      </c>
      <c r="J56" s="183" t="s">
        <v>476</v>
      </c>
      <c r="K56" s="183" t="s">
        <v>477</v>
      </c>
      <c r="L56" s="183" t="s">
        <v>478</v>
      </c>
      <c r="M56" s="183" t="s">
        <v>479</v>
      </c>
      <c r="N56" s="183" t="s">
        <v>480</v>
      </c>
      <c r="O56" s="183" t="s">
        <v>481</v>
      </c>
      <c r="P56" s="183" t="s">
        <v>235</v>
      </c>
    </row>
    <row r="57" spans="2:16" ht="38.25">
      <c r="B57" s="331">
        <v>1</v>
      </c>
      <c r="C57" s="332" t="s">
        <v>673</v>
      </c>
      <c r="D57" s="300"/>
      <c r="E57" s="300"/>
      <c r="F57" s="300"/>
      <c r="G57" s="300"/>
      <c r="H57" s="300"/>
      <c r="I57" s="300"/>
      <c r="J57" s="300"/>
      <c r="K57" s="300"/>
      <c r="L57" s="300"/>
      <c r="M57" s="300"/>
      <c r="N57" s="300"/>
      <c r="O57" s="300"/>
      <c r="P57" s="300"/>
    </row>
    <row r="59" spans="2:16">
      <c r="B59" s="310"/>
      <c r="C59" s="301" t="s">
        <v>667</v>
      </c>
    </row>
    <row r="60" spans="2:16" s="1" customFormat="1" ht="15">
      <c r="B60" s="182" t="s">
        <v>2</v>
      </c>
      <c r="C60" s="182" t="s">
        <v>57</v>
      </c>
      <c r="D60" s="183" t="s">
        <v>470</v>
      </c>
      <c r="E60" s="183" t="s">
        <v>471</v>
      </c>
      <c r="F60" s="183" t="s">
        <v>472</v>
      </c>
      <c r="G60" s="183" t="s">
        <v>473</v>
      </c>
      <c r="H60" s="183" t="s">
        <v>474</v>
      </c>
      <c r="I60" s="183" t="s">
        <v>475</v>
      </c>
      <c r="J60" s="183" t="s">
        <v>476</v>
      </c>
      <c r="K60" s="183" t="s">
        <v>477</v>
      </c>
      <c r="L60" s="183" t="s">
        <v>478</v>
      </c>
      <c r="M60" s="183" t="s">
        <v>479</v>
      </c>
      <c r="N60" s="183" t="s">
        <v>480</v>
      </c>
      <c r="O60" s="183" t="s">
        <v>481</v>
      </c>
      <c r="P60" s="183" t="s">
        <v>235</v>
      </c>
    </row>
    <row r="61" spans="2:16" ht="38.25">
      <c r="B61" s="331">
        <v>1</v>
      </c>
      <c r="C61" s="332" t="s">
        <v>673</v>
      </c>
      <c r="D61" s="300"/>
      <c r="E61" s="300"/>
      <c r="F61" s="300"/>
      <c r="G61" s="300"/>
      <c r="H61" s="300"/>
      <c r="I61" s="300"/>
      <c r="J61" s="300"/>
      <c r="K61" s="300"/>
      <c r="L61" s="300"/>
      <c r="M61" s="300"/>
      <c r="N61" s="300"/>
      <c r="O61" s="300"/>
      <c r="P61" s="300"/>
    </row>
    <row r="63" spans="2:16">
      <c r="B63" s="310"/>
      <c r="C63" s="301" t="s">
        <v>668</v>
      </c>
    </row>
    <row r="64" spans="2:16" s="1" customFormat="1" ht="15">
      <c r="B64" s="182" t="s">
        <v>2</v>
      </c>
      <c r="C64" s="182" t="s">
        <v>57</v>
      </c>
      <c r="D64" s="183" t="s">
        <v>470</v>
      </c>
      <c r="E64" s="183" t="s">
        <v>471</v>
      </c>
      <c r="F64" s="183" t="s">
        <v>472</v>
      </c>
      <c r="G64" s="183" t="s">
        <v>473</v>
      </c>
      <c r="H64" s="183" t="s">
        <v>474</v>
      </c>
      <c r="I64" s="183" t="s">
        <v>475</v>
      </c>
      <c r="J64" s="183" t="s">
        <v>476</v>
      </c>
      <c r="K64" s="183" t="s">
        <v>477</v>
      </c>
      <c r="L64" s="183" t="s">
        <v>478</v>
      </c>
      <c r="M64" s="183" t="s">
        <v>479</v>
      </c>
      <c r="N64" s="183" t="s">
        <v>480</v>
      </c>
      <c r="O64" s="183" t="s">
        <v>481</v>
      </c>
      <c r="P64" s="183" t="s">
        <v>235</v>
      </c>
    </row>
    <row r="65" spans="1:16" ht="38.25">
      <c r="B65" s="331">
        <v>1</v>
      </c>
      <c r="C65" s="332" t="s">
        <v>673</v>
      </c>
      <c r="D65" s="300"/>
      <c r="E65" s="300"/>
      <c r="F65" s="300"/>
      <c r="G65" s="300"/>
      <c r="H65" s="300"/>
      <c r="I65" s="300"/>
      <c r="J65" s="300"/>
      <c r="K65" s="333"/>
      <c r="L65" s="333"/>
      <c r="M65" s="333"/>
      <c r="N65" s="333"/>
      <c r="O65" s="333"/>
      <c r="P65" s="300"/>
    </row>
    <row r="67" spans="1:16">
      <c r="A67" s="310" t="s">
        <v>674</v>
      </c>
    </row>
    <row r="68" spans="1:16" ht="28.5">
      <c r="B68" s="198" t="s">
        <v>2</v>
      </c>
      <c r="C68" s="198" t="s">
        <v>57</v>
      </c>
      <c r="D68" s="199" t="s">
        <v>70</v>
      </c>
      <c r="E68" s="198" t="s">
        <v>71</v>
      </c>
      <c r="F68" s="198" t="s">
        <v>72</v>
      </c>
      <c r="G68" s="198" t="s">
        <v>73</v>
      </c>
      <c r="H68" s="198" t="s">
        <v>74</v>
      </c>
    </row>
    <row r="69" spans="1:16" ht="45">
      <c r="B69" s="220">
        <v>1</v>
      </c>
      <c r="C69" s="330" t="s">
        <v>675</v>
      </c>
      <c r="D69" s="66"/>
      <c r="E69" s="64"/>
      <c r="F69" s="328"/>
      <c r="G69" s="328"/>
      <c r="H69" s="64"/>
    </row>
    <row r="72" spans="1:16">
      <c r="A72" s="310" t="s">
        <v>676</v>
      </c>
      <c r="B72" s="310"/>
    </row>
    <row r="73" spans="1:16" ht="24.6" customHeight="1">
      <c r="C73" s="1083" t="s">
        <v>70</v>
      </c>
      <c r="D73" s="1083"/>
      <c r="E73" s="1083" t="s">
        <v>71</v>
      </c>
      <c r="F73" s="1083"/>
      <c r="G73" s="1083" t="s">
        <v>72</v>
      </c>
      <c r="H73" s="1083"/>
      <c r="I73" s="1083" t="s">
        <v>73</v>
      </c>
      <c r="J73" s="1083"/>
      <c r="K73" s="1083" t="s">
        <v>677</v>
      </c>
      <c r="L73" s="1083"/>
    </row>
    <row r="74" spans="1:16" ht="101.1" customHeight="1">
      <c r="C74" s="335" t="s">
        <v>678</v>
      </c>
      <c r="D74" s="335" t="s">
        <v>679</v>
      </c>
      <c r="E74" s="335" t="s">
        <v>678</v>
      </c>
      <c r="F74" s="335" t="s">
        <v>679</v>
      </c>
      <c r="G74" s="335" t="s">
        <v>678</v>
      </c>
      <c r="H74" s="335" t="s">
        <v>679</v>
      </c>
      <c r="I74" s="335" t="s">
        <v>678</v>
      </c>
      <c r="J74" s="335" t="s">
        <v>679</v>
      </c>
      <c r="K74" s="335" t="s">
        <v>678</v>
      </c>
      <c r="L74" s="335" t="s">
        <v>679</v>
      </c>
    </row>
    <row r="75" spans="1:16" ht="32.85" customHeight="1">
      <c r="C75" s="331">
        <v>1</v>
      </c>
      <c r="D75" s="331"/>
      <c r="E75" s="331">
        <v>1</v>
      </c>
      <c r="F75" s="331"/>
      <c r="G75" s="331">
        <v>1</v>
      </c>
      <c r="H75" s="331"/>
      <c r="I75" s="331">
        <v>1</v>
      </c>
      <c r="J75" s="331"/>
      <c r="K75" s="331">
        <v>1</v>
      </c>
      <c r="L75" s="331"/>
    </row>
    <row r="76" spans="1:16">
      <c r="C76" s="331">
        <v>2</v>
      </c>
      <c r="D76" s="331"/>
      <c r="E76" s="331">
        <v>2</v>
      </c>
      <c r="F76" s="331"/>
      <c r="G76" s="331">
        <v>2</v>
      </c>
      <c r="H76" s="331"/>
      <c r="I76" s="331">
        <v>2</v>
      </c>
      <c r="J76" s="331"/>
      <c r="K76" s="331">
        <v>2</v>
      </c>
      <c r="L76" s="331"/>
    </row>
    <row r="77" spans="1:16">
      <c r="C77" s="331">
        <v>3</v>
      </c>
      <c r="D77" s="331"/>
      <c r="E77" s="331">
        <v>3</v>
      </c>
      <c r="F77" s="331"/>
      <c r="G77" s="331">
        <v>3</v>
      </c>
      <c r="H77" s="331"/>
      <c r="I77" s="331">
        <v>3</v>
      </c>
      <c r="J77" s="331"/>
      <c r="K77" s="331">
        <v>3</v>
      </c>
      <c r="L77" s="331"/>
    </row>
    <row r="78" spans="1:16">
      <c r="C78" s="336" t="s">
        <v>680</v>
      </c>
      <c r="D78" s="331"/>
      <c r="E78" s="336" t="s">
        <v>680</v>
      </c>
      <c r="F78" s="331"/>
      <c r="G78" s="336" t="s">
        <v>680</v>
      </c>
      <c r="H78" s="331"/>
      <c r="I78" s="336" t="s">
        <v>680</v>
      </c>
      <c r="J78" s="331"/>
      <c r="K78" s="336" t="s">
        <v>680</v>
      </c>
      <c r="L78" s="331"/>
    </row>
    <row r="79" spans="1:16">
      <c r="C79" s="336" t="s">
        <v>680</v>
      </c>
      <c r="D79" s="331"/>
      <c r="E79" s="336" t="s">
        <v>680</v>
      </c>
      <c r="F79" s="331"/>
      <c r="G79" s="336" t="s">
        <v>680</v>
      </c>
      <c r="H79" s="331"/>
      <c r="I79" s="336" t="s">
        <v>680</v>
      </c>
      <c r="J79" s="331"/>
      <c r="K79" s="336" t="s">
        <v>680</v>
      </c>
      <c r="L79" s="331"/>
    </row>
    <row r="80" spans="1:16">
      <c r="C80" s="336" t="s">
        <v>680</v>
      </c>
      <c r="D80" s="331"/>
      <c r="E80" s="336" t="s">
        <v>680</v>
      </c>
      <c r="F80" s="331"/>
      <c r="G80" s="336" t="s">
        <v>680</v>
      </c>
      <c r="H80" s="331"/>
      <c r="I80" s="336" t="s">
        <v>680</v>
      </c>
      <c r="J80" s="331"/>
      <c r="K80" s="336" t="s">
        <v>680</v>
      </c>
      <c r="L80" s="331"/>
    </row>
  </sheetData>
  <mergeCells count="5">
    <mergeCell ref="C73:D73"/>
    <mergeCell ref="E73:F73"/>
    <mergeCell ref="G73:H73"/>
    <mergeCell ref="I73:J73"/>
    <mergeCell ref="K73:L73"/>
  </mergeCells>
  <pageMargins left="0.7" right="0.7" top="0.75" bottom="0.75" header="0.3" footer="0.3"/>
  <pageSetup scale="46" pageOrder="overThenDown" orientation="landscape" r:id="rId1"/>
  <rowBreaks count="1" manualBreakCount="1">
    <brk id="33" max="16383" man="1"/>
  </rowBreaks>
</worksheet>
</file>

<file path=xl/worksheets/sheet33.xml><?xml version="1.0" encoding="utf-8"?>
<worksheet xmlns="http://schemas.openxmlformats.org/spreadsheetml/2006/main" xmlns:r="http://schemas.openxmlformats.org/officeDocument/2006/relationships">
  <dimension ref="A1:H15"/>
  <sheetViews>
    <sheetView view="pageBreakPreview" topLeftCell="A18" zoomScale="60" workbookViewId="0">
      <selection activeCell="T31" sqref="T31"/>
    </sheetView>
  </sheetViews>
  <sheetFormatPr defaultColWidth="8.85546875" defaultRowHeight="12.75"/>
  <cols>
    <col min="3" max="3" width="24.140625" customWidth="1"/>
    <col min="4" max="4" width="13.7109375" customWidth="1"/>
    <col min="5" max="5" width="12.42578125" customWidth="1"/>
    <col min="6" max="6" width="12.28515625" customWidth="1"/>
    <col min="7" max="7" width="12.42578125" customWidth="1"/>
    <col min="8" max="8" width="15.7109375" customWidth="1"/>
  </cols>
  <sheetData>
    <row r="1" spans="1:8" ht="14.25">
      <c r="F1" s="81" t="s">
        <v>0</v>
      </c>
    </row>
    <row r="2" spans="1:8" ht="14.25">
      <c r="F2" s="88" t="s">
        <v>1</v>
      </c>
    </row>
    <row r="3" spans="1:8" ht="14.25">
      <c r="F3" s="62" t="s">
        <v>681</v>
      </c>
    </row>
    <row r="6" spans="1:8">
      <c r="A6" s="310" t="s">
        <v>682</v>
      </c>
    </row>
    <row r="7" spans="1:8" ht="14.25">
      <c r="B7" s="198" t="s">
        <v>2</v>
      </c>
      <c r="C7" s="198" t="s">
        <v>57</v>
      </c>
      <c r="D7" s="199" t="s">
        <v>70</v>
      </c>
      <c r="E7" s="198" t="s">
        <v>71</v>
      </c>
      <c r="F7" s="198" t="s">
        <v>72</v>
      </c>
      <c r="G7" s="198" t="s">
        <v>73</v>
      </c>
      <c r="H7" s="198" t="s">
        <v>74</v>
      </c>
    </row>
    <row r="8" spans="1:8">
      <c r="B8" s="300">
        <v>1</v>
      </c>
      <c r="C8" s="337" t="s">
        <v>683</v>
      </c>
      <c r="D8" s="300"/>
      <c r="E8" s="300"/>
      <c r="F8" s="300"/>
      <c r="G8" s="300"/>
      <c r="H8" s="300"/>
    </row>
    <row r="9" spans="1:8">
      <c r="B9" s="300">
        <v>2</v>
      </c>
      <c r="C9" s="300" t="s">
        <v>684</v>
      </c>
      <c r="D9" s="300"/>
      <c r="E9" s="300"/>
      <c r="F9" s="300"/>
      <c r="G9" s="300"/>
      <c r="H9" s="300"/>
    </row>
    <row r="11" spans="1:8">
      <c r="A11" s="310" t="s">
        <v>685</v>
      </c>
    </row>
    <row r="12" spans="1:8" ht="14.25">
      <c r="B12" s="198" t="s">
        <v>2</v>
      </c>
      <c r="C12" s="198" t="s">
        <v>57</v>
      </c>
      <c r="D12" s="199" t="s">
        <v>70</v>
      </c>
      <c r="E12" s="198" t="s">
        <v>71</v>
      </c>
      <c r="F12" s="198" t="s">
        <v>72</v>
      </c>
      <c r="G12" s="198" t="s">
        <v>73</v>
      </c>
      <c r="H12" s="198" t="s">
        <v>74</v>
      </c>
    </row>
    <row r="13" spans="1:8">
      <c r="B13" s="300">
        <v>1</v>
      </c>
      <c r="C13" s="337" t="s">
        <v>686</v>
      </c>
      <c r="D13" s="300"/>
      <c r="E13" s="300"/>
      <c r="F13" s="300"/>
      <c r="G13" s="300"/>
      <c r="H13" s="300"/>
    </row>
    <row r="14" spans="1:8">
      <c r="B14" s="300">
        <v>2</v>
      </c>
      <c r="C14" s="337" t="s">
        <v>687</v>
      </c>
      <c r="D14" s="300"/>
      <c r="E14" s="300"/>
      <c r="F14" s="300"/>
      <c r="G14" s="300"/>
      <c r="H14" s="300"/>
    </row>
    <row r="15" spans="1:8">
      <c r="B15" s="300">
        <v>3</v>
      </c>
      <c r="C15" s="300" t="s">
        <v>688</v>
      </c>
      <c r="D15" s="300"/>
      <c r="E15" s="300"/>
      <c r="F15" s="300"/>
      <c r="G15" s="300"/>
      <c r="H15" s="300"/>
    </row>
  </sheetData>
  <pageMargins left="0.7" right="0.7" top="0.75" bottom="0.75" header="0.3" footer="0.3"/>
  <pageSetup scale="85" orientation="landscape" r:id="rId1"/>
</worksheet>
</file>

<file path=xl/worksheets/sheet34.xml><?xml version="1.0" encoding="utf-8"?>
<worksheet xmlns="http://schemas.openxmlformats.org/spreadsheetml/2006/main" xmlns:r="http://schemas.openxmlformats.org/officeDocument/2006/relationships">
  <dimension ref="A1:L24"/>
  <sheetViews>
    <sheetView view="pageBreakPreview" zoomScale="60" zoomScaleNormal="78" workbookViewId="0">
      <selection activeCell="T31" sqref="T31"/>
    </sheetView>
  </sheetViews>
  <sheetFormatPr defaultColWidth="8.85546875" defaultRowHeight="12.75"/>
  <cols>
    <col min="2" max="2" width="8.7109375" customWidth="1"/>
    <col min="3" max="3" width="25.28515625" customWidth="1"/>
    <col min="4" max="4" width="16.7109375" customWidth="1"/>
    <col min="5" max="6" width="17.85546875" customWidth="1"/>
    <col min="7" max="7" width="18.7109375" customWidth="1"/>
    <col min="8" max="8" width="18" customWidth="1"/>
    <col min="9" max="9" width="17" customWidth="1"/>
    <col min="10" max="10" width="18.7109375" customWidth="1"/>
    <col min="11" max="11" width="19.85546875" customWidth="1"/>
    <col min="12" max="12" width="15.42578125" customWidth="1"/>
  </cols>
  <sheetData>
    <row r="1" spans="1:12" ht="14.25">
      <c r="F1" s="81" t="s">
        <v>0</v>
      </c>
    </row>
    <row r="2" spans="1:12" ht="14.25">
      <c r="C2" s="329"/>
      <c r="D2" s="329"/>
      <c r="E2" s="329"/>
      <c r="F2" s="88" t="s">
        <v>1</v>
      </c>
      <c r="G2" s="329"/>
      <c r="H2" s="329"/>
      <c r="I2" s="329"/>
      <c r="J2" s="329"/>
      <c r="K2" s="329"/>
      <c r="L2" s="329"/>
    </row>
    <row r="3" spans="1:12" ht="14.25">
      <c r="C3" s="329"/>
      <c r="D3" s="329"/>
      <c r="E3" s="329"/>
      <c r="F3" s="62" t="s">
        <v>689</v>
      </c>
      <c r="G3" s="329"/>
      <c r="H3" s="329"/>
      <c r="I3" s="329"/>
      <c r="J3" s="329"/>
      <c r="K3" s="329"/>
      <c r="L3" s="329"/>
    </row>
    <row r="4" spans="1:12">
      <c r="C4" s="329"/>
      <c r="D4" s="329"/>
      <c r="E4" s="329"/>
      <c r="F4" s="329"/>
      <c r="G4" s="329"/>
      <c r="H4" s="329"/>
      <c r="I4" s="329"/>
      <c r="J4" s="329"/>
      <c r="K4" s="329"/>
      <c r="L4" s="329"/>
    </row>
    <row r="5" spans="1:12">
      <c r="C5" s="329"/>
      <c r="D5" s="329"/>
      <c r="E5" s="329"/>
      <c r="F5" s="329"/>
      <c r="G5" s="329"/>
      <c r="H5" s="329"/>
      <c r="I5" s="329"/>
      <c r="J5" s="329"/>
      <c r="K5" s="329"/>
      <c r="L5" s="329"/>
    </row>
    <row r="6" spans="1:12">
      <c r="C6" s="329"/>
      <c r="D6" s="329"/>
      <c r="E6" s="329"/>
      <c r="F6" s="329"/>
      <c r="G6" s="329"/>
      <c r="H6" s="329"/>
      <c r="I6" s="329"/>
      <c r="J6" s="329"/>
      <c r="K6" s="329"/>
      <c r="L6" s="329"/>
    </row>
    <row r="7" spans="1:12">
      <c r="C7" s="329"/>
      <c r="D7" s="329"/>
      <c r="E7" s="329"/>
      <c r="F7" s="329"/>
      <c r="G7" s="329"/>
      <c r="H7" s="329"/>
      <c r="I7" s="329"/>
      <c r="J7" s="329"/>
      <c r="K7" s="329"/>
      <c r="L7" s="329"/>
    </row>
    <row r="8" spans="1:12">
      <c r="A8" s="310" t="s">
        <v>690</v>
      </c>
    </row>
    <row r="9" spans="1:12" ht="14.25">
      <c r="B9" s="198" t="s">
        <v>2</v>
      </c>
      <c r="C9" s="198" t="s">
        <v>57</v>
      </c>
      <c r="D9" s="199" t="s">
        <v>70</v>
      </c>
      <c r="E9" s="198" t="s">
        <v>71</v>
      </c>
      <c r="F9" s="198" t="s">
        <v>72</v>
      </c>
      <c r="G9" s="198" t="s">
        <v>73</v>
      </c>
      <c r="H9" s="198" t="s">
        <v>74</v>
      </c>
    </row>
    <row r="10" spans="1:12" ht="41.85" customHeight="1">
      <c r="B10" s="338">
        <v>1</v>
      </c>
      <c r="C10" s="339" t="s">
        <v>691</v>
      </c>
      <c r="D10" s="338"/>
      <c r="E10" s="338"/>
      <c r="F10" s="338"/>
      <c r="G10" s="338"/>
      <c r="H10" s="338"/>
    </row>
    <row r="13" spans="1:12">
      <c r="A13" s="310" t="s">
        <v>692</v>
      </c>
    </row>
    <row r="14" spans="1:12" ht="14.25">
      <c r="B14" s="198" t="s">
        <v>2</v>
      </c>
      <c r="C14" s="198" t="s">
        <v>57</v>
      </c>
      <c r="D14" s="199" t="s">
        <v>70</v>
      </c>
      <c r="E14" s="198" t="s">
        <v>71</v>
      </c>
      <c r="F14" s="198" t="s">
        <v>72</v>
      </c>
      <c r="G14" s="198" t="s">
        <v>73</v>
      </c>
      <c r="H14" s="198" t="s">
        <v>74</v>
      </c>
    </row>
    <row r="15" spans="1:12" ht="41.85" customHeight="1">
      <c r="B15" s="338">
        <v>1</v>
      </c>
      <c r="C15" s="339" t="s">
        <v>693</v>
      </c>
      <c r="D15" s="338"/>
      <c r="E15" s="338"/>
      <c r="F15" s="338"/>
      <c r="G15" s="338"/>
      <c r="H15" s="338"/>
    </row>
    <row r="17" spans="1:8">
      <c r="A17" s="310" t="s">
        <v>694</v>
      </c>
    </row>
    <row r="18" spans="1:8" ht="14.25">
      <c r="B18" s="198" t="s">
        <v>2</v>
      </c>
      <c r="C18" s="198" t="s">
        <v>57</v>
      </c>
      <c r="D18" s="199" t="s">
        <v>70</v>
      </c>
      <c r="E18" s="198" t="s">
        <v>71</v>
      </c>
      <c r="F18" s="198" t="s">
        <v>72</v>
      </c>
      <c r="G18" s="198" t="s">
        <v>73</v>
      </c>
      <c r="H18" s="198" t="s">
        <v>74</v>
      </c>
    </row>
    <row r="19" spans="1:8" ht="38.25">
      <c r="B19" s="332">
        <v>1</v>
      </c>
      <c r="C19" s="332" t="s">
        <v>695</v>
      </c>
      <c r="D19" s="332"/>
      <c r="E19" s="332"/>
      <c r="F19" s="332"/>
      <c r="G19" s="332"/>
      <c r="H19" s="332"/>
    </row>
    <row r="20" spans="1:8" ht="38.25">
      <c r="B20" s="332">
        <v>2</v>
      </c>
      <c r="C20" s="332" t="s">
        <v>696</v>
      </c>
      <c r="D20" s="332"/>
      <c r="E20" s="332"/>
      <c r="F20" s="332"/>
      <c r="G20" s="332"/>
      <c r="H20" s="332"/>
    </row>
    <row r="22" spans="1:8">
      <c r="A22" s="310" t="s">
        <v>697</v>
      </c>
    </row>
    <row r="23" spans="1:8" ht="14.25">
      <c r="B23" s="198" t="s">
        <v>2</v>
      </c>
      <c r="C23" s="198" t="s">
        <v>57</v>
      </c>
      <c r="D23" s="199" t="s">
        <v>70</v>
      </c>
      <c r="E23" s="198" t="s">
        <v>71</v>
      </c>
      <c r="F23" s="198" t="s">
        <v>72</v>
      </c>
      <c r="G23" s="198" t="s">
        <v>73</v>
      </c>
      <c r="H23" s="198" t="s">
        <v>74</v>
      </c>
    </row>
    <row r="24" spans="1:8" ht="63.75">
      <c r="B24" s="332">
        <v>1</v>
      </c>
      <c r="C24" s="334" t="s">
        <v>698</v>
      </c>
      <c r="D24" s="332"/>
      <c r="E24" s="332"/>
      <c r="F24" s="332"/>
      <c r="G24" s="332"/>
      <c r="H24" s="332"/>
    </row>
  </sheetData>
  <pageMargins left="0.7" right="0.7" top="0.75" bottom="0.75" header="0.3" footer="0.3"/>
  <pageSetup scale="70" orientation="landscape" r:id="rId1"/>
</worksheet>
</file>

<file path=xl/worksheets/sheet35.xml><?xml version="1.0" encoding="utf-8"?>
<worksheet xmlns="http://schemas.openxmlformats.org/spreadsheetml/2006/main" xmlns:r="http://schemas.openxmlformats.org/officeDocument/2006/relationships">
  <dimension ref="A1:P46"/>
  <sheetViews>
    <sheetView view="pageBreakPreview" topLeftCell="A17" zoomScale="60" zoomScaleNormal="78" workbookViewId="0">
      <selection activeCell="T31" sqref="T31"/>
    </sheetView>
  </sheetViews>
  <sheetFormatPr defaultColWidth="8.85546875" defaultRowHeight="12.75"/>
  <cols>
    <col min="3" max="3" width="26.140625" customWidth="1"/>
    <col min="4" max="16" width="10.7109375" customWidth="1"/>
  </cols>
  <sheetData>
    <row r="1" spans="1:16" ht="14.25">
      <c r="F1" s="81" t="s">
        <v>0</v>
      </c>
    </row>
    <row r="2" spans="1:16" ht="14.25">
      <c r="F2" s="88" t="s">
        <v>1</v>
      </c>
    </row>
    <row r="3" spans="1:16" ht="14.25">
      <c r="F3" s="62" t="s">
        <v>699</v>
      </c>
    </row>
    <row r="6" spans="1:16">
      <c r="A6" s="310" t="s">
        <v>700</v>
      </c>
    </row>
    <row r="7" spans="1:16">
      <c r="A7" s="301"/>
      <c r="B7" s="301" t="s">
        <v>70</v>
      </c>
    </row>
    <row r="8" spans="1:16" ht="14.25">
      <c r="B8" s="327" t="s">
        <v>2</v>
      </c>
      <c r="C8" s="327" t="s">
        <v>57</v>
      </c>
      <c r="D8" s="183" t="s">
        <v>470</v>
      </c>
      <c r="E8" s="183" t="s">
        <v>471</v>
      </c>
      <c r="F8" s="183" t="s">
        <v>472</v>
      </c>
      <c r="G8" s="183" t="s">
        <v>473</v>
      </c>
      <c r="H8" s="183" t="s">
        <v>474</v>
      </c>
      <c r="I8" s="183" t="s">
        <v>475</v>
      </c>
      <c r="J8" s="183" t="s">
        <v>476</v>
      </c>
      <c r="K8" s="183" t="s">
        <v>477</v>
      </c>
      <c r="L8" s="183" t="s">
        <v>478</v>
      </c>
      <c r="M8" s="183" t="s">
        <v>479</v>
      </c>
      <c r="N8" s="183" t="s">
        <v>480</v>
      </c>
      <c r="O8" s="183" t="s">
        <v>481</v>
      </c>
      <c r="P8" s="183" t="s">
        <v>235</v>
      </c>
    </row>
    <row r="9" spans="1:16" ht="25.5">
      <c r="B9" s="300">
        <v>1</v>
      </c>
      <c r="C9" s="334" t="s">
        <v>701</v>
      </c>
      <c r="D9" s="300"/>
      <c r="E9" s="300"/>
      <c r="F9" s="300"/>
      <c r="G9" s="300"/>
      <c r="H9" s="300"/>
      <c r="I9" s="300"/>
      <c r="J9" s="300"/>
      <c r="K9" s="300"/>
      <c r="L9" s="300"/>
      <c r="M9" s="300"/>
      <c r="N9" s="300"/>
      <c r="O9" s="300"/>
      <c r="P9" s="300"/>
    </row>
    <row r="11" spans="1:16">
      <c r="A11" s="301"/>
      <c r="B11" s="301" t="s">
        <v>71</v>
      </c>
    </row>
    <row r="12" spans="1:16" ht="14.25">
      <c r="B12" s="327" t="s">
        <v>2</v>
      </c>
      <c r="C12" s="327" t="s">
        <v>57</v>
      </c>
      <c r="D12" s="183" t="s">
        <v>470</v>
      </c>
      <c r="E12" s="183" t="s">
        <v>471</v>
      </c>
      <c r="F12" s="183" t="s">
        <v>472</v>
      </c>
      <c r="G12" s="183" t="s">
        <v>473</v>
      </c>
      <c r="H12" s="183" t="s">
        <v>474</v>
      </c>
      <c r="I12" s="183" t="s">
        <v>475</v>
      </c>
      <c r="J12" s="183" t="s">
        <v>476</v>
      </c>
      <c r="K12" s="183" t="s">
        <v>477</v>
      </c>
      <c r="L12" s="183" t="s">
        <v>478</v>
      </c>
      <c r="M12" s="183" t="s">
        <v>479</v>
      </c>
      <c r="N12" s="183" t="s">
        <v>480</v>
      </c>
      <c r="O12" s="183" t="s">
        <v>481</v>
      </c>
      <c r="P12" s="183" t="s">
        <v>235</v>
      </c>
    </row>
    <row r="13" spans="1:16" ht="25.5">
      <c r="B13" s="300">
        <v>1</v>
      </c>
      <c r="C13" s="334" t="s">
        <v>701</v>
      </c>
      <c r="D13" s="300"/>
      <c r="E13" s="300"/>
      <c r="F13" s="300"/>
      <c r="G13" s="300"/>
      <c r="H13" s="300"/>
      <c r="I13" s="300"/>
      <c r="J13" s="300"/>
      <c r="K13" s="300"/>
      <c r="L13" s="300"/>
      <c r="M13" s="300"/>
      <c r="N13" s="300"/>
      <c r="O13" s="300"/>
      <c r="P13" s="300"/>
    </row>
    <row r="15" spans="1:16">
      <c r="A15" s="301"/>
      <c r="B15" s="301" t="s">
        <v>72</v>
      </c>
    </row>
    <row r="16" spans="1:16" ht="14.25">
      <c r="B16" s="327" t="s">
        <v>2</v>
      </c>
      <c r="C16" s="327" t="s">
        <v>57</v>
      </c>
      <c r="D16" s="183" t="s">
        <v>470</v>
      </c>
      <c r="E16" s="183" t="s">
        <v>471</v>
      </c>
      <c r="F16" s="183" t="s">
        <v>472</v>
      </c>
      <c r="G16" s="183" t="s">
        <v>473</v>
      </c>
      <c r="H16" s="183" t="s">
        <v>474</v>
      </c>
      <c r="I16" s="183" t="s">
        <v>475</v>
      </c>
      <c r="J16" s="183" t="s">
        <v>476</v>
      </c>
      <c r="K16" s="183" t="s">
        <v>477</v>
      </c>
      <c r="L16" s="183" t="s">
        <v>478</v>
      </c>
      <c r="M16" s="183" t="s">
        <v>479</v>
      </c>
      <c r="N16" s="183" t="s">
        <v>480</v>
      </c>
      <c r="O16" s="183" t="s">
        <v>481</v>
      </c>
      <c r="P16" s="183" t="s">
        <v>235</v>
      </c>
    </row>
    <row r="17" spans="1:16" ht="25.5">
      <c r="B17" s="300">
        <v>1</v>
      </c>
      <c r="C17" s="334" t="s">
        <v>701</v>
      </c>
      <c r="D17" s="300"/>
      <c r="E17" s="300"/>
      <c r="F17" s="300"/>
      <c r="G17" s="300"/>
      <c r="H17" s="300"/>
      <c r="I17" s="300"/>
      <c r="J17" s="300"/>
      <c r="K17" s="300"/>
      <c r="L17" s="300"/>
      <c r="M17" s="300"/>
      <c r="N17" s="300"/>
      <c r="O17" s="300"/>
      <c r="P17" s="300"/>
    </row>
    <row r="19" spans="1:16">
      <c r="A19" s="301"/>
      <c r="B19" s="301" t="s">
        <v>73</v>
      </c>
    </row>
    <row r="20" spans="1:16" ht="14.25">
      <c r="B20" s="327" t="s">
        <v>2</v>
      </c>
      <c r="C20" s="327" t="s">
        <v>57</v>
      </c>
      <c r="D20" s="183" t="s">
        <v>470</v>
      </c>
      <c r="E20" s="183" t="s">
        <v>471</v>
      </c>
      <c r="F20" s="183" t="s">
        <v>472</v>
      </c>
      <c r="G20" s="183" t="s">
        <v>473</v>
      </c>
      <c r="H20" s="183" t="s">
        <v>474</v>
      </c>
      <c r="I20" s="183" t="s">
        <v>475</v>
      </c>
      <c r="J20" s="183" t="s">
        <v>476</v>
      </c>
      <c r="K20" s="183" t="s">
        <v>477</v>
      </c>
      <c r="L20" s="183" t="s">
        <v>478</v>
      </c>
      <c r="M20" s="183" t="s">
        <v>479</v>
      </c>
      <c r="N20" s="183" t="s">
        <v>480</v>
      </c>
      <c r="O20" s="183" t="s">
        <v>481</v>
      </c>
      <c r="P20" s="183" t="s">
        <v>235</v>
      </c>
    </row>
    <row r="21" spans="1:16" ht="25.5">
      <c r="B21" s="300">
        <v>1</v>
      </c>
      <c r="C21" s="334" t="s">
        <v>701</v>
      </c>
      <c r="D21" s="300"/>
      <c r="E21" s="300"/>
      <c r="F21" s="300"/>
      <c r="G21" s="300"/>
      <c r="H21" s="300"/>
      <c r="I21" s="300"/>
      <c r="J21" s="300"/>
      <c r="K21" s="300"/>
      <c r="L21" s="300"/>
      <c r="M21" s="300"/>
      <c r="N21" s="300"/>
      <c r="O21" s="300"/>
      <c r="P21" s="300"/>
    </row>
    <row r="23" spans="1:16">
      <c r="A23" s="301"/>
      <c r="B23" s="301" t="s">
        <v>74</v>
      </c>
    </row>
    <row r="24" spans="1:16" ht="14.25">
      <c r="B24" s="327" t="s">
        <v>2</v>
      </c>
      <c r="C24" s="327" t="s">
        <v>57</v>
      </c>
      <c r="D24" s="183" t="s">
        <v>470</v>
      </c>
      <c r="E24" s="183" t="s">
        <v>471</v>
      </c>
      <c r="F24" s="183" t="s">
        <v>472</v>
      </c>
      <c r="G24" s="183" t="s">
        <v>473</v>
      </c>
      <c r="H24" s="183" t="s">
        <v>474</v>
      </c>
      <c r="I24" s="183" t="s">
        <v>475</v>
      </c>
      <c r="J24" s="183" t="s">
        <v>476</v>
      </c>
      <c r="K24" s="183" t="s">
        <v>477</v>
      </c>
      <c r="L24" s="183" t="s">
        <v>478</v>
      </c>
      <c r="M24" s="183" t="s">
        <v>479</v>
      </c>
      <c r="N24" s="183" t="s">
        <v>480</v>
      </c>
      <c r="O24" s="183" t="s">
        <v>481</v>
      </c>
      <c r="P24" s="183" t="s">
        <v>235</v>
      </c>
    </row>
    <row r="25" spans="1:16" ht="25.5">
      <c r="B25" s="341">
        <v>1</v>
      </c>
      <c r="C25" s="334" t="s">
        <v>701</v>
      </c>
      <c r="D25" s="300"/>
      <c r="E25" s="300"/>
      <c r="F25" s="300"/>
      <c r="G25" s="300"/>
      <c r="H25" s="300"/>
      <c r="I25" s="300"/>
      <c r="J25" s="340"/>
      <c r="K25" s="340"/>
      <c r="L25" s="340"/>
      <c r="M25" s="340"/>
      <c r="N25" s="340"/>
      <c r="O25" s="340"/>
      <c r="P25" s="300"/>
    </row>
    <row r="28" spans="1:16">
      <c r="A28" s="310" t="s">
        <v>702</v>
      </c>
    </row>
    <row r="29" spans="1:16" ht="28.5">
      <c r="B29" s="198" t="s">
        <v>2</v>
      </c>
      <c r="C29" s="198" t="s">
        <v>57</v>
      </c>
      <c r="D29" s="199" t="s">
        <v>70</v>
      </c>
      <c r="E29" s="198" t="s">
        <v>71</v>
      </c>
      <c r="F29" s="198" t="s">
        <v>72</v>
      </c>
      <c r="G29" s="198" t="s">
        <v>73</v>
      </c>
      <c r="H29" s="198" t="s">
        <v>74</v>
      </c>
    </row>
    <row r="30" spans="1:16">
      <c r="B30" s="341">
        <v>1</v>
      </c>
      <c r="C30" s="302" t="s">
        <v>703</v>
      </c>
      <c r="D30" s="300"/>
      <c r="E30" s="300"/>
      <c r="F30" s="300"/>
      <c r="G30" s="300"/>
      <c r="H30" s="300"/>
    </row>
    <row r="31" spans="1:16">
      <c r="B31" s="341">
        <v>2</v>
      </c>
      <c r="C31" s="302" t="s">
        <v>704</v>
      </c>
      <c r="D31" s="300"/>
      <c r="E31" s="300"/>
      <c r="F31" s="300"/>
      <c r="G31" s="300"/>
      <c r="H31" s="300"/>
    </row>
    <row r="32" spans="1:16">
      <c r="B32" s="341">
        <v>3</v>
      </c>
      <c r="C32" s="302" t="s">
        <v>705</v>
      </c>
      <c r="D32" s="300"/>
      <c r="E32" s="300"/>
      <c r="F32" s="300"/>
      <c r="G32" s="300"/>
      <c r="H32" s="300"/>
    </row>
    <row r="33" spans="1:8">
      <c r="B33" s="341">
        <v>4</v>
      </c>
      <c r="C33" s="302" t="s">
        <v>706</v>
      </c>
      <c r="D33" s="300"/>
      <c r="E33" s="300"/>
      <c r="F33" s="300"/>
      <c r="G33" s="300"/>
      <c r="H33" s="300"/>
    </row>
    <row r="34" spans="1:8">
      <c r="B34" s="341">
        <v>5</v>
      </c>
      <c r="C34" s="302" t="s">
        <v>707</v>
      </c>
      <c r="D34" s="300"/>
      <c r="E34" s="300"/>
      <c r="F34" s="300"/>
      <c r="G34" s="300"/>
      <c r="H34" s="300"/>
    </row>
    <row r="35" spans="1:8">
      <c r="B35" s="341">
        <v>6</v>
      </c>
      <c r="C35" s="302" t="s">
        <v>708</v>
      </c>
      <c r="D35" s="300"/>
      <c r="E35" s="300"/>
      <c r="F35" s="300"/>
      <c r="G35" s="300"/>
      <c r="H35" s="300"/>
    </row>
    <row r="38" spans="1:8">
      <c r="A38" s="310" t="s">
        <v>709</v>
      </c>
    </row>
    <row r="39" spans="1:8" ht="28.5">
      <c r="B39" s="198" t="s">
        <v>2</v>
      </c>
      <c r="C39" s="198" t="s">
        <v>57</v>
      </c>
      <c r="D39" s="199" t="s">
        <v>70</v>
      </c>
      <c r="E39" s="198" t="s">
        <v>71</v>
      </c>
      <c r="F39" s="198" t="s">
        <v>72</v>
      </c>
      <c r="G39" s="198" t="s">
        <v>73</v>
      </c>
      <c r="H39" s="198" t="s">
        <v>74</v>
      </c>
    </row>
    <row r="40" spans="1:8" ht="38.25">
      <c r="B40" s="331">
        <v>1</v>
      </c>
      <c r="C40" s="334" t="s">
        <v>710</v>
      </c>
      <c r="D40" s="300"/>
      <c r="E40" s="300"/>
      <c r="F40" s="300"/>
      <c r="G40" s="300"/>
      <c r="H40" s="300"/>
    </row>
    <row r="43" spans="1:8">
      <c r="A43" s="310" t="s">
        <v>711</v>
      </c>
    </row>
    <row r="44" spans="1:8" ht="28.5">
      <c r="B44" s="198" t="s">
        <v>2</v>
      </c>
      <c r="C44" s="198" t="s">
        <v>57</v>
      </c>
      <c r="D44" s="199" t="s">
        <v>70</v>
      </c>
      <c r="E44" s="198" t="s">
        <v>71</v>
      </c>
      <c r="F44" s="198" t="s">
        <v>72</v>
      </c>
      <c r="G44" s="198" t="s">
        <v>73</v>
      </c>
      <c r="H44" s="198" t="s">
        <v>74</v>
      </c>
    </row>
    <row r="45" spans="1:8" ht="38.25">
      <c r="B45" s="331">
        <v>1</v>
      </c>
      <c r="C45" s="334" t="s">
        <v>712</v>
      </c>
      <c r="D45" s="300"/>
      <c r="E45" s="300"/>
      <c r="F45" s="300"/>
      <c r="G45" s="300"/>
      <c r="H45" s="300"/>
    </row>
    <row r="46" spans="1:8" ht="38.25">
      <c r="B46" s="342">
        <v>2</v>
      </c>
      <c r="C46" s="334" t="s">
        <v>713</v>
      </c>
      <c r="D46" s="300"/>
      <c r="E46" s="300"/>
      <c r="F46" s="300"/>
      <c r="G46" s="300"/>
      <c r="H46" s="300"/>
    </row>
  </sheetData>
  <pageMargins left="0.7" right="0.7" top="0.75" bottom="0.75" header="0.3" footer="0.3"/>
  <pageSetup scale="50" orientation="landscape" r:id="rId1"/>
</worksheet>
</file>

<file path=xl/worksheets/sheet36.xml><?xml version="1.0" encoding="utf-8"?>
<worksheet xmlns="http://schemas.openxmlformats.org/spreadsheetml/2006/main" xmlns:r="http://schemas.openxmlformats.org/officeDocument/2006/relationships">
  <sheetPr>
    <pageSetUpPr fitToPage="1"/>
  </sheetPr>
  <dimension ref="B2:O61"/>
  <sheetViews>
    <sheetView showGridLines="0" view="pageBreakPreview" topLeftCell="F1" zoomScale="80" zoomScaleNormal="75" workbookViewId="0">
      <selection activeCell="K19" sqref="K19:O19"/>
    </sheetView>
  </sheetViews>
  <sheetFormatPr defaultColWidth="9.28515625" defaultRowHeight="15"/>
  <cols>
    <col min="1" max="1" width="6.7109375" style="17" customWidth="1"/>
    <col min="2" max="2" width="7" style="17" customWidth="1"/>
    <col min="3" max="3" width="96.7109375" style="17" customWidth="1"/>
    <col min="4" max="5" width="14.42578125" style="17" customWidth="1"/>
    <col min="6" max="6" width="17.7109375" style="17" customWidth="1"/>
    <col min="7" max="8" width="17.42578125" style="17" customWidth="1"/>
    <col min="9" max="9" width="15" style="17" customWidth="1"/>
    <col min="10" max="10" width="16.7109375" style="17" customWidth="1"/>
    <col min="11" max="11" width="16.42578125" style="17" customWidth="1"/>
    <col min="12" max="14" width="18.7109375" style="17" customWidth="1"/>
    <col min="15" max="15" width="17" style="17" customWidth="1"/>
    <col min="16" max="16384" width="9.28515625" style="17"/>
  </cols>
  <sheetData>
    <row r="2" spans="2:15">
      <c r="D2" s="81" t="s">
        <v>0</v>
      </c>
      <c r="E2" s="81"/>
      <c r="F2" s="81"/>
      <c r="G2" s="18"/>
      <c r="H2" s="18"/>
      <c r="I2" s="18"/>
      <c r="J2" s="18"/>
      <c r="K2" s="18"/>
    </row>
    <row r="3" spans="2:15" s="19" customFormat="1">
      <c r="D3" s="88" t="s">
        <v>1</v>
      </c>
      <c r="E3" s="81"/>
      <c r="F3" s="81"/>
      <c r="G3" s="20"/>
      <c r="H3" s="20"/>
      <c r="I3" s="20"/>
      <c r="J3" s="20"/>
      <c r="K3" s="20"/>
    </row>
    <row r="4" spans="2:15" s="19" customFormat="1">
      <c r="D4" s="81" t="s">
        <v>397</v>
      </c>
      <c r="E4" s="81"/>
      <c r="F4" s="81"/>
      <c r="G4" s="20"/>
      <c r="H4" s="38"/>
      <c r="I4" s="38"/>
      <c r="J4" s="20"/>
      <c r="K4" s="20"/>
    </row>
    <row r="5" spans="2:15">
      <c r="C5" s="23"/>
    </row>
    <row r="6" spans="2:15">
      <c r="C6" s="23"/>
    </row>
    <row r="7" spans="2:15">
      <c r="C7" s="23"/>
    </row>
    <row r="8" spans="2:15">
      <c r="H8" s="23"/>
      <c r="N8" s="110" t="s">
        <v>1198</v>
      </c>
    </row>
    <row r="9" spans="2:15">
      <c r="B9" s="1084" t="s">
        <v>365</v>
      </c>
      <c r="C9" s="1084" t="s">
        <v>57</v>
      </c>
      <c r="D9" s="956" t="s">
        <v>4</v>
      </c>
      <c r="E9" s="1086" t="s">
        <v>58</v>
      </c>
      <c r="F9" s="1087"/>
      <c r="G9" s="1086" t="s">
        <v>59</v>
      </c>
      <c r="H9" s="1087"/>
      <c r="I9" s="1086" t="s">
        <v>60</v>
      </c>
      <c r="J9" s="1087"/>
      <c r="K9" s="1088" t="s">
        <v>61</v>
      </c>
      <c r="L9" s="1089"/>
      <c r="M9" s="1089"/>
      <c r="N9" s="1089"/>
      <c r="O9" s="1090"/>
    </row>
    <row r="10" spans="2:15" ht="28.5">
      <c r="B10" s="1085"/>
      <c r="C10" s="1085"/>
      <c r="D10" s="1091"/>
      <c r="E10" s="198" t="s">
        <v>63</v>
      </c>
      <c r="F10" s="150" t="s">
        <v>398</v>
      </c>
      <c r="G10" s="198" t="s">
        <v>63</v>
      </c>
      <c r="H10" s="150" t="s">
        <v>398</v>
      </c>
      <c r="I10" s="198" t="s">
        <v>63</v>
      </c>
      <c r="J10" s="150" t="s">
        <v>398</v>
      </c>
      <c r="K10" s="198" t="s">
        <v>70</v>
      </c>
      <c r="L10" s="198" t="s">
        <v>71</v>
      </c>
      <c r="M10" s="198" t="s">
        <v>72</v>
      </c>
      <c r="N10" s="198" t="s">
        <v>73</v>
      </c>
      <c r="O10" s="198" t="s">
        <v>74</v>
      </c>
    </row>
    <row r="11" spans="2:15">
      <c r="B11" s="176">
        <v>1</v>
      </c>
      <c r="C11" s="177" t="s">
        <v>399</v>
      </c>
      <c r="D11" s="44"/>
      <c r="E11" s="490"/>
      <c r="F11" s="490"/>
      <c r="G11" s="490"/>
      <c r="H11" s="490"/>
      <c r="I11" s="490"/>
      <c r="J11" s="490"/>
      <c r="K11" s="491"/>
      <c r="L11" s="491"/>
      <c r="M11" s="491"/>
      <c r="N11" s="491"/>
      <c r="O11" s="491"/>
    </row>
    <row r="12" spans="2:15">
      <c r="B12" s="60">
        <f>+B10+0.1</f>
        <v>0.1</v>
      </c>
      <c r="C12" s="175" t="s">
        <v>400</v>
      </c>
      <c r="D12" s="217"/>
      <c r="E12" s="490">
        <v>268.75</v>
      </c>
      <c r="F12" s="492">
        <f>'F14'!O30/12</f>
        <v>267.76616239144386</v>
      </c>
      <c r="G12" s="490">
        <v>292.58999999999997</v>
      </c>
      <c r="H12" s="492">
        <f>'F14'!P30/12</f>
        <v>293.70986174239459</v>
      </c>
      <c r="I12" s="492">
        <v>299.3</v>
      </c>
      <c r="J12" s="492">
        <f>'F2'!N14/12</f>
        <v>350.52104312883461</v>
      </c>
      <c r="K12" s="493">
        <f>F2.1!L16/12</f>
        <v>354.03478818962731</v>
      </c>
      <c r="L12" s="657">
        <f>F2.1!N16/12</f>
        <v>343.37281395255326</v>
      </c>
      <c r="M12" s="657">
        <f>F2.1!P16/12</f>
        <v>359.21000386906144</v>
      </c>
      <c r="N12" s="657">
        <f>F2.1!R16/12</f>
        <v>375.77764353074434</v>
      </c>
      <c r="O12" s="657">
        <f>F2.1!T16/12</f>
        <v>393.1094230576951</v>
      </c>
    </row>
    <row r="13" spans="2:15">
      <c r="B13" s="60">
        <f>+B12+0.1</f>
        <v>0.2</v>
      </c>
      <c r="C13" s="14" t="s">
        <v>401</v>
      </c>
      <c r="D13" s="217"/>
      <c r="E13" s="490">
        <v>434.95</v>
      </c>
      <c r="F13" s="492">
        <f>'F14'!J25/8</f>
        <v>431.80069874999998</v>
      </c>
      <c r="G13" s="490">
        <v>384.56</v>
      </c>
      <c r="H13" s="492">
        <f>'F14'!J52/8</f>
        <v>383.93951499999997</v>
      </c>
      <c r="I13" s="492">
        <v>412.72</v>
      </c>
      <c r="J13" s="492">
        <f>'F11'!P44/8</f>
        <v>412.72375</v>
      </c>
      <c r="K13" s="493">
        <f ca="1">'F1 '!P23/8</f>
        <v>435.39769856812916</v>
      </c>
      <c r="L13" s="493">
        <f ca="1">'F1 '!Q23/8</f>
        <v>605.5228103019183</v>
      </c>
      <c r="M13" s="493">
        <f ca="1">'F1 '!R23/8</f>
        <v>884.3746232337262</v>
      </c>
      <c r="N13" s="493">
        <f ca="1">'F1 '!S23/8</f>
        <v>1075.0221055538707</v>
      </c>
      <c r="O13" s="493">
        <f ca="1">'F1 '!T23/8</f>
        <v>1212.9395341505822</v>
      </c>
    </row>
    <row r="14" spans="2:15">
      <c r="B14" s="11"/>
      <c r="C14" s="178" t="s">
        <v>402</v>
      </c>
      <c r="D14" s="217"/>
      <c r="E14" s="490">
        <v>703.69</v>
      </c>
      <c r="F14" s="492">
        <f>F12+F13</f>
        <v>699.56686114144384</v>
      </c>
      <c r="G14" s="490">
        <v>677.15</v>
      </c>
      <c r="H14" s="492">
        <f>H12+H13</f>
        <v>677.64937674239457</v>
      </c>
      <c r="I14" s="492">
        <v>712.02</v>
      </c>
      <c r="J14" s="492">
        <f>J12+J13</f>
        <v>763.24479312883454</v>
      </c>
      <c r="K14" s="492">
        <f t="shared" ref="K14:O14" ca="1" si="0">K12+K13</f>
        <v>789.43248675775646</v>
      </c>
      <c r="L14" s="492">
        <f t="shared" ca="1" si="0"/>
        <v>948.89562425447161</v>
      </c>
      <c r="M14" s="492">
        <f t="shared" ca="1" si="0"/>
        <v>1243.5846271027876</v>
      </c>
      <c r="N14" s="492">
        <f t="shared" ca="1" si="0"/>
        <v>1450.7997490846151</v>
      </c>
      <c r="O14" s="492">
        <f t="shared" ca="1" si="0"/>
        <v>1606.0489572082772</v>
      </c>
    </row>
    <row r="15" spans="2:15">
      <c r="D15" s="27"/>
      <c r="E15" s="493"/>
      <c r="F15" s="493"/>
      <c r="G15" s="388"/>
      <c r="H15" s="388"/>
      <c r="I15" s="388"/>
      <c r="J15" s="388"/>
      <c r="K15" s="383"/>
      <c r="L15" s="388"/>
      <c r="M15" s="388"/>
      <c r="N15" s="388"/>
      <c r="O15" s="388"/>
    </row>
    <row r="16" spans="2:15">
      <c r="B16" s="11"/>
      <c r="C16" s="14"/>
      <c r="D16" s="27"/>
      <c r="E16" s="493"/>
      <c r="F16" s="493"/>
      <c r="G16" s="388"/>
      <c r="H16" s="388"/>
      <c r="I16" s="388"/>
      <c r="J16" s="388"/>
      <c r="K16" s="494"/>
      <c r="L16" s="388"/>
      <c r="M16" s="388"/>
      <c r="N16" s="388"/>
      <c r="O16" s="388"/>
    </row>
    <row r="17" spans="2:15">
      <c r="B17" s="176">
        <v>2</v>
      </c>
      <c r="C17" s="177" t="s">
        <v>403</v>
      </c>
      <c r="D17" s="24"/>
      <c r="E17" s="388"/>
      <c r="F17" s="388"/>
      <c r="G17" s="388"/>
      <c r="H17" s="388"/>
      <c r="I17" s="388"/>
      <c r="J17" s="388"/>
      <c r="K17" s="494"/>
      <c r="L17" s="388"/>
      <c r="M17" s="388"/>
      <c r="N17" s="388"/>
      <c r="O17" s="388"/>
    </row>
    <row r="18" spans="2:15">
      <c r="B18" s="60">
        <f>+B17+0.1</f>
        <v>2.1</v>
      </c>
      <c r="C18" s="175" t="s">
        <v>404</v>
      </c>
      <c r="D18" s="465"/>
      <c r="E18" s="465">
        <v>9.4500000000000001E-2</v>
      </c>
      <c r="F18" s="465">
        <f>G47+1.5%</f>
        <v>9.2949035812672165E-2</v>
      </c>
      <c r="G18" s="465">
        <v>9.4500000000000001E-2</v>
      </c>
      <c r="H18" s="465">
        <f>G61+1.5%</f>
        <v>0.10064697802197804</v>
      </c>
      <c r="I18" s="465">
        <v>9.4500000000000001E-2</v>
      </c>
      <c r="J18" s="465">
        <f>8.95%+1.5%</f>
        <v>0.1045</v>
      </c>
      <c r="K18" s="495">
        <f>J18</f>
        <v>0.1045</v>
      </c>
      <c r="L18" s="495">
        <f t="shared" ref="L18:O18" si="1">K18</f>
        <v>0.1045</v>
      </c>
      <c r="M18" s="495">
        <f t="shared" si="1"/>
        <v>0.1045</v>
      </c>
      <c r="N18" s="495">
        <f t="shared" si="1"/>
        <v>0.1045</v>
      </c>
      <c r="O18" s="495">
        <f t="shared" si="1"/>
        <v>0.1045</v>
      </c>
    </row>
    <row r="19" spans="2:15">
      <c r="B19" s="60">
        <f>+B18+0.1</f>
        <v>2.2000000000000002</v>
      </c>
      <c r="C19" s="177" t="s">
        <v>33</v>
      </c>
      <c r="D19" s="30"/>
      <c r="E19" s="375">
        <v>66.5</v>
      </c>
      <c r="F19" s="375">
        <f>F18*F14</f>
        <v>65.024065229594726</v>
      </c>
      <c r="G19" s="375">
        <f t="shared" ref="G19:O19" si="2">G18*G14</f>
        <v>63.990674999999996</v>
      </c>
      <c r="H19" s="375">
        <f t="shared" si="2"/>
        <v>68.203361927598905</v>
      </c>
      <c r="I19" s="375">
        <f t="shared" si="2"/>
        <v>67.285889999999995</v>
      </c>
      <c r="J19" s="375">
        <f t="shared" si="2"/>
        <v>79.7590808819632</v>
      </c>
      <c r="K19" s="375">
        <f t="shared" ca="1" si="2"/>
        <v>82.495694866185545</v>
      </c>
      <c r="L19" s="375">
        <f t="shared" ca="1" si="2"/>
        <v>99.15959273459228</v>
      </c>
      <c r="M19" s="375">
        <f t="shared" ca="1" si="2"/>
        <v>129.95459353224129</v>
      </c>
      <c r="N19" s="375">
        <f t="shared" ca="1" si="2"/>
        <v>151.60857377934227</v>
      </c>
      <c r="O19" s="375">
        <f t="shared" ca="1" si="2"/>
        <v>167.83211602826495</v>
      </c>
    </row>
    <row r="20" spans="2:15">
      <c r="B20" s="24"/>
      <c r="C20" s="24"/>
      <c r="D20" s="24"/>
      <c r="E20" s="388"/>
      <c r="F20" s="388"/>
      <c r="G20" s="388"/>
      <c r="H20" s="388"/>
      <c r="I20" s="388"/>
      <c r="J20" s="388"/>
      <c r="K20" s="375"/>
      <c r="L20" s="375"/>
      <c r="M20" s="375"/>
      <c r="N20" s="375"/>
      <c r="O20" s="375"/>
    </row>
    <row r="21" spans="2:15">
      <c r="B21" s="24">
        <v>3</v>
      </c>
      <c r="C21" s="282" t="s">
        <v>405</v>
      </c>
      <c r="D21" s="24"/>
      <c r="E21" s="388"/>
      <c r="F21" s="388"/>
      <c r="G21" s="388"/>
      <c r="H21" s="388"/>
      <c r="I21" s="388"/>
      <c r="J21" s="388"/>
      <c r="K21" s="375"/>
      <c r="L21" s="375"/>
      <c r="M21" s="375"/>
      <c r="N21" s="375"/>
      <c r="O21" s="375"/>
    </row>
    <row r="22" spans="2:15">
      <c r="K22" s="19"/>
      <c r="L22" s="19"/>
      <c r="M22" s="19"/>
      <c r="N22" s="19"/>
      <c r="O22" s="19"/>
    </row>
    <row r="23" spans="2:15" s="19" customFormat="1">
      <c r="B23" s="108" t="s">
        <v>406</v>
      </c>
      <c r="C23" s="35"/>
      <c r="D23" s="35"/>
      <c r="E23" s="35"/>
      <c r="F23" s="35"/>
      <c r="G23" s="35"/>
      <c r="H23" s="35"/>
      <c r="I23" s="35"/>
      <c r="J23" s="35"/>
    </row>
    <row r="24" spans="2:15" s="19" customFormat="1">
      <c r="B24" s="45">
        <v>1</v>
      </c>
      <c r="C24" s="35" t="s">
        <v>407</v>
      </c>
      <c r="D24" s="109"/>
      <c r="E24" s="109"/>
      <c r="F24" s="109"/>
      <c r="G24" s="109"/>
      <c r="J24" s="35"/>
    </row>
    <row r="25" spans="2:15" s="19" customFormat="1" ht="15" customHeight="1">
      <c r="B25" s="45">
        <v>2</v>
      </c>
      <c r="C25" s="1036" t="s">
        <v>408</v>
      </c>
      <c r="D25" s="1036"/>
      <c r="E25" s="1036"/>
      <c r="F25" s="1036"/>
      <c r="G25" s="1036"/>
      <c r="J25" s="35"/>
    </row>
    <row r="29" spans="2:15">
      <c r="D29" s="17" t="s">
        <v>1264</v>
      </c>
    </row>
    <row r="34" spans="3:7">
      <c r="C34" s="17" t="s">
        <v>1269</v>
      </c>
      <c r="D34" s="17" t="s">
        <v>1266</v>
      </c>
      <c r="E34" s="17" t="s">
        <v>1267</v>
      </c>
      <c r="F34" s="17" t="s">
        <v>1268</v>
      </c>
    </row>
    <row r="35" spans="3:7">
      <c r="C35" s="468">
        <v>14</v>
      </c>
      <c r="D35" s="17" t="s">
        <v>1265</v>
      </c>
      <c r="E35" s="17" t="s">
        <v>1295</v>
      </c>
      <c r="F35" s="435">
        <v>7.0000000000000007E-2</v>
      </c>
    </row>
    <row r="36" spans="3:7">
      <c r="C36" s="17">
        <v>30</v>
      </c>
      <c r="D36" s="17" t="s">
        <v>1270</v>
      </c>
      <c r="E36" s="17" t="s">
        <v>1296</v>
      </c>
      <c r="F36" s="435">
        <v>7.0999999999999994E-2</v>
      </c>
    </row>
    <row r="37" spans="3:7">
      <c r="C37" s="17">
        <v>31</v>
      </c>
      <c r="D37" s="17" t="s">
        <v>1271</v>
      </c>
      <c r="E37" s="17" t="s">
        <v>1297</v>
      </c>
      <c r="F37" s="435">
        <v>7.1999999999999995E-2</v>
      </c>
    </row>
    <row r="38" spans="3:7">
      <c r="C38" s="17">
        <v>30</v>
      </c>
      <c r="D38" s="17" t="s">
        <v>1272</v>
      </c>
      <c r="E38" s="17" t="s">
        <v>1298</v>
      </c>
      <c r="F38" s="435">
        <v>7.3999999999999996E-2</v>
      </c>
    </row>
    <row r="39" spans="3:7">
      <c r="C39" s="17">
        <v>31</v>
      </c>
      <c r="D39" s="17" t="s">
        <v>1273</v>
      </c>
      <c r="E39" s="17" t="s">
        <v>1306</v>
      </c>
      <c r="F39" s="435">
        <v>7.4999999999999997E-2</v>
      </c>
    </row>
    <row r="40" spans="3:7">
      <c r="C40" s="17">
        <v>31</v>
      </c>
      <c r="D40" s="17" t="s">
        <v>1274</v>
      </c>
      <c r="E40" s="17" t="s">
        <v>1307</v>
      </c>
      <c r="F40" s="435">
        <v>7.6999999999999999E-2</v>
      </c>
    </row>
    <row r="41" spans="3:7">
      <c r="C41" s="17">
        <v>30</v>
      </c>
      <c r="D41" s="17" t="s">
        <v>1275</v>
      </c>
      <c r="E41" s="17" t="s">
        <v>1308</v>
      </c>
      <c r="F41" s="435">
        <v>7.6999999999999999E-2</v>
      </c>
    </row>
    <row r="42" spans="3:7">
      <c r="C42" s="17">
        <v>31</v>
      </c>
      <c r="D42" s="17" t="s">
        <v>1276</v>
      </c>
      <c r="E42" s="17" t="s">
        <v>1309</v>
      </c>
      <c r="F42" s="435">
        <v>7.9500000000000001E-2</v>
      </c>
    </row>
    <row r="43" spans="3:7">
      <c r="C43" s="17">
        <v>30</v>
      </c>
      <c r="D43" s="17" t="s">
        <v>1277</v>
      </c>
      <c r="E43" s="17" t="s">
        <v>1310</v>
      </c>
      <c r="F43" s="435">
        <v>8.0500000000000002E-2</v>
      </c>
    </row>
    <row r="44" spans="3:7">
      <c r="C44" s="17">
        <v>31</v>
      </c>
      <c r="D44" s="17" t="s">
        <v>1278</v>
      </c>
      <c r="E44" s="17" t="s">
        <v>1305</v>
      </c>
      <c r="F44" s="435">
        <v>8.3000000000000004E-2</v>
      </c>
    </row>
    <row r="45" spans="3:7">
      <c r="C45" s="17">
        <v>31</v>
      </c>
      <c r="D45" s="17" t="s">
        <v>1279</v>
      </c>
      <c r="E45" s="17" t="s">
        <v>1311</v>
      </c>
      <c r="F45" s="435">
        <v>8.4000000000000005E-2</v>
      </c>
    </row>
    <row r="46" spans="3:7">
      <c r="C46" s="17">
        <v>28</v>
      </c>
      <c r="D46" s="17" t="s">
        <v>1280</v>
      </c>
      <c r="E46" s="17" t="s">
        <v>1312</v>
      </c>
      <c r="F46" s="435">
        <v>8.5000000000000006E-2</v>
      </c>
    </row>
    <row r="47" spans="3:7">
      <c r="C47" s="17">
        <v>15</v>
      </c>
      <c r="D47" s="17" t="s">
        <v>1281</v>
      </c>
      <c r="E47" s="17" t="s">
        <v>1313</v>
      </c>
      <c r="F47" s="435">
        <v>8.5000000000000006E-2</v>
      </c>
      <c r="G47" s="435">
        <f>SUMPRODUCT(C35:C47,F35:F47)/SUM(C35:C47)</f>
        <v>7.7949035812672166E-2</v>
      </c>
    </row>
    <row r="49" spans="3:7">
      <c r="C49" s="17">
        <v>14</v>
      </c>
      <c r="D49" s="17" t="s">
        <v>1282</v>
      </c>
      <c r="E49" s="17" t="s">
        <v>1314</v>
      </c>
      <c r="F49" s="435">
        <v>8.5000000000000006E-2</v>
      </c>
    </row>
    <row r="50" spans="3:7">
      <c r="C50" s="17">
        <v>30</v>
      </c>
      <c r="D50" s="17" t="s">
        <v>1283</v>
      </c>
      <c r="E50" s="17" t="s">
        <v>1299</v>
      </c>
      <c r="F50" s="435">
        <v>8.5000000000000006E-2</v>
      </c>
    </row>
    <row r="51" spans="3:7">
      <c r="C51" s="17">
        <v>31</v>
      </c>
      <c r="D51" s="17" t="s">
        <v>1284</v>
      </c>
      <c r="E51" s="17" t="s">
        <v>1300</v>
      </c>
      <c r="F51" s="435">
        <v>8.5000000000000006E-2</v>
      </c>
    </row>
    <row r="52" spans="3:7">
      <c r="C52" s="17">
        <v>30</v>
      </c>
      <c r="D52" s="17" t="s">
        <v>1285</v>
      </c>
      <c r="E52" s="17" t="s">
        <v>1301</v>
      </c>
      <c r="F52" s="435">
        <v>8.5000000000000006E-2</v>
      </c>
    </row>
    <row r="53" spans="3:7">
      <c r="C53" s="17">
        <v>31</v>
      </c>
      <c r="D53" s="17" t="s">
        <v>1286</v>
      </c>
      <c r="E53" s="17" t="s">
        <v>1302</v>
      </c>
      <c r="F53" s="435">
        <v>8.5500000000000007E-2</v>
      </c>
    </row>
    <row r="54" spans="3:7">
      <c r="C54" s="17">
        <v>31</v>
      </c>
      <c r="D54" s="17" t="s">
        <v>1287</v>
      </c>
      <c r="E54" s="17" t="s">
        <v>1303</v>
      </c>
      <c r="F54" s="435">
        <v>8.5500000000000007E-2</v>
      </c>
    </row>
    <row r="55" spans="3:7">
      <c r="C55" s="17">
        <v>30</v>
      </c>
      <c r="D55" s="17" t="s">
        <v>1288</v>
      </c>
      <c r="E55" s="17" t="s">
        <v>1304</v>
      </c>
      <c r="F55" s="435">
        <v>8.5500000000000007E-2</v>
      </c>
    </row>
    <row r="56" spans="3:7">
      <c r="C56" s="17">
        <v>31</v>
      </c>
      <c r="D56" s="17" t="s">
        <v>1289</v>
      </c>
      <c r="E56" s="17" t="s">
        <v>1315</v>
      </c>
      <c r="F56" s="435">
        <v>8.5500000000000007E-2</v>
      </c>
    </row>
    <row r="57" spans="3:7">
      <c r="C57" s="17">
        <v>30</v>
      </c>
      <c r="D57" s="17" t="s">
        <v>1290</v>
      </c>
      <c r="E57" s="17" t="s">
        <v>1316</v>
      </c>
      <c r="F57" s="435">
        <v>8.5500000000000007E-2</v>
      </c>
    </row>
    <row r="58" spans="3:7">
      <c r="C58" s="17">
        <v>31</v>
      </c>
      <c r="D58" s="17" t="s">
        <v>1291</v>
      </c>
      <c r="E58" s="17" t="s">
        <v>1317</v>
      </c>
      <c r="F58" s="435">
        <v>8.6499999999999994E-2</v>
      </c>
    </row>
    <row r="59" spans="3:7">
      <c r="C59" s="17">
        <v>31</v>
      </c>
      <c r="D59" s="17" t="s">
        <v>1292</v>
      </c>
      <c r="E59" s="17" t="s">
        <v>1318</v>
      </c>
      <c r="F59" s="435">
        <v>8.6499999999999994E-2</v>
      </c>
    </row>
    <row r="60" spans="3:7">
      <c r="C60" s="17">
        <v>29</v>
      </c>
      <c r="D60" s="17" t="s">
        <v>1293</v>
      </c>
      <c r="E60" s="17" t="s">
        <v>1319</v>
      </c>
      <c r="F60" s="435">
        <v>8.6499999999999994E-2</v>
      </c>
    </row>
    <row r="61" spans="3:7">
      <c r="C61" s="17">
        <v>15</v>
      </c>
      <c r="D61" s="17" t="s">
        <v>1294</v>
      </c>
      <c r="E61" s="17" t="s">
        <v>1320</v>
      </c>
      <c r="F61" s="435">
        <v>8.6499999999999994E-2</v>
      </c>
      <c r="G61" s="435">
        <f>SUMPRODUCT(C49:C61,F49:F61)/SUM(C49:C61)</f>
        <v>8.5646978021978043E-2</v>
      </c>
    </row>
  </sheetData>
  <mergeCells count="8">
    <mergeCell ref="B9:B10"/>
    <mergeCell ref="E9:F9"/>
    <mergeCell ref="K9:O9"/>
    <mergeCell ref="C25:G25"/>
    <mergeCell ref="I9:J9"/>
    <mergeCell ref="G9:H9"/>
    <mergeCell ref="D9:D10"/>
    <mergeCell ref="C9:C10"/>
  </mergeCells>
  <phoneticPr fontId="22" type="noConversion"/>
  <pageMargins left="1.0236220472440944" right="0.23622047244094491" top="0.98425196850393704" bottom="0.98425196850393704" header="0.23622047244094491" footer="0.23622047244094491"/>
  <pageSetup paperSize="9" scale="43" orientation="landscape" r:id="rId1"/>
  <headerFooter alignWithMargins="0">
    <oddHeader>&amp;F</oddHeader>
  </headerFooter>
</worksheet>
</file>

<file path=xl/worksheets/sheet4.xml><?xml version="1.0" encoding="utf-8"?>
<worksheet xmlns="http://schemas.openxmlformats.org/spreadsheetml/2006/main" xmlns:r="http://schemas.openxmlformats.org/officeDocument/2006/relationships">
  <sheetPr>
    <pageSetUpPr fitToPage="1"/>
  </sheetPr>
  <dimension ref="B1:T41"/>
  <sheetViews>
    <sheetView showGridLines="0" view="pageBreakPreview" zoomScale="76" zoomScaleNormal="80" workbookViewId="0">
      <selection activeCell="J16" sqref="J16"/>
    </sheetView>
  </sheetViews>
  <sheetFormatPr defaultColWidth="9.28515625" defaultRowHeight="15"/>
  <cols>
    <col min="1" max="1" width="9.28515625" style="19"/>
    <col min="2" max="2" width="7.28515625" style="19" customWidth="1"/>
    <col min="3" max="3" width="31.42578125" style="19" customWidth="1"/>
    <col min="4" max="4" width="17.42578125" style="19" customWidth="1"/>
    <col min="5" max="5" width="19" style="19" customWidth="1"/>
    <col min="6" max="6" width="13.28515625" style="19" customWidth="1"/>
    <col min="7" max="10" width="14.7109375" style="19" customWidth="1"/>
    <col min="11" max="20" width="15" style="19" customWidth="1"/>
    <col min="21" max="16384" width="9.28515625" style="19"/>
  </cols>
  <sheetData>
    <row r="1" spans="2:20">
      <c r="B1" s="23"/>
      <c r="C1" s="23"/>
      <c r="D1" s="23"/>
      <c r="E1" s="23"/>
      <c r="F1" s="23"/>
      <c r="G1" s="23"/>
      <c r="H1" s="23"/>
      <c r="I1" s="23"/>
      <c r="J1" s="23"/>
      <c r="K1" s="23"/>
      <c r="L1" s="23"/>
      <c r="M1" s="23"/>
    </row>
    <row r="2" spans="2:20">
      <c r="B2" s="71"/>
      <c r="C2" s="71"/>
      <c r="D2" s="71"/>
      <c r="E2" s="71"/>
      <c r="F2" s="71"/>
      <c r="G2" s="71"/>
      <c r="I2" s="71"/>
      <c r="J2" s="81" t="s">
        <v>0</v>
      </c>
      <c r="K2" s="71"/>
      <c r="L2" s="71"/>
      <c r="M2" s="71"/>
    </row>
    <row r="3" spans="2:20">
      <c r="B3" s="71"/>
      <c r="C3" s="71"/>
      <c r="D3" s="71"/>
      <c r="E3" s="71"/>
      <c r="F3" s="71"/>
      <c r="G3" s="71"/>
      <c r="I3" s="71"/>
      <c r="J3" s="88" t="s">
        <v>1</v>
      </c>
      <c r="K3" s="71"/>
      <c r="L3" s="71"/>
      <c r="M3" s="71"/>
    </row>
    <row r="4" spans="2:20">
      <c r="B4" s="63"/>
      <c r="C4" s="63"/>
      <c r="D4" s="63"/>
      <c r="E4" s="63"/>
      <c r="F4" s="63"/>
      <c r="G4" s="63"/>
      <c r="I4" s="63"/>
      <c r="J4" s="81" t="s">
        <v>109</v>
      </c>
      <c r="K4" s="63"/>
      <c r="L4" s="63"/>
      <c r="M4" s="63"/>
    </row>
    <row r="5" spans="2:20">
      <c r="B5" s="63"/>
      <c r="C5" s="63"/>
      <c r="D5" s="63"/>
      <c r="E5" s="63"/>
      <c r="F5" s="63"/>
      <c r="G5" s="63"/>
      <c r="H5" s="63"/>
      <c r="I5" s="63"/>
      <c r="J5" s="63"/>
      <c r="K5" s="63"/>
      <c r="L5" s="63"/>
      <c r="M5" s="63"/>
    </row>
    <row r="6" spans="2:20">
      <c r="B6" s="36"/>
      <c r="C6" s="36"/>
      <c r="D6" s="36"/>
      <c r="E6" s="36"/>
      <c r="F6" s="36"/>
      <c r="G6" s="36"/>
      <c r="H6" s="36"/>
      <c r="I6" s="36"/>
      <c r="J6" s="36"/>
      <c r="K6" s="36"/>
      <c r="L6" s="36"/>
      <c r="M6" s="36"/>
    </row>
    <row r="7" spans="2:20">
      <c r="T7" s="22" t="s">
        <v>1198</v>
      </c>
    </row>
    <row r="8" spans="2:20" s="45" customFormat="1" ht="15" customHeight="1">
      <c r="B8" s="976" t="s">
        <v>2</v>
      </c>
      <c r="C8" s="976" t="s">
        <v>57</v>
      </c>
      <c r="D8" s="980" t="s">
        <v>110</v>
      </c>
      <c r="E8" s="982"/>
      <c r="F8" s="982"/>
      <c r="G8" s="982"/>
      <c r="H8" s="981"/>
      <c r="I8" s="977" t="s">
        <v>111</v>
      </c>
      <c r="J8" s="206" t="s">
        <v>112</v>
      </c>
      <c r="K8" s="979" t="s">
        <v>61</v>
      </c>
      <c r="L8" s="979"/>
      <c r="M8" s="979"/>
      <c r="N8" s="979"/>
      <c r="O8" s="979"/>
      <c r="P8" s="979"/>
      <c r="Q8" s="979"/>
      <c r="R8" s="979"/>
      <c r="S8" s="979"/>
      <c r="T8" s="979"/>
    </row>
    <row r="9" spans="2:20" s="45" customFormat="1">
      <c r="B9" s="976"/>
      <c r="C9" s="976"/>
      <c r="D9" s="307" t="s">
        <v>113</v>
      </c>
      <c r="E9" s="307" t="s">
        <v>114</v>
      </c>
      <c r="F9" s="206" t="s">
        <v>115</v>
      </c>
      <c r="G9" s="206" t="s">
        <v>58</v>
      </c>
      <c r="H9" s="206" t="s">
        <v>59</v>
      </c>
      <c r="I9" s="978"/>
      <c r="J9" s="206" t="s">
        <v>60</v>
      </c>
      <c r="K9" s="980" t="s">
        <v>70</v>
      </c>
      <c r="L9" s="981"/>
      <c r="M9" s="980" t="s">
        <v>71</v>
      </c>
      <c r="N9" s="981"/>
      <c r="O9" s="980" t="s">
        <v>72</v>
      </c>
      <c r="P9" s="981"/>
      <c r="Q9" s="980" t="s">
        <v>73</v>
      </c>
      <c r="R9" s="981"/>
      <c r="S9" s="980" t="s">
        <v>74</v>
      </c>
      <c r="T9" s="981"/>
    </row>
    <row r="10" spans="2:20" s="45" customFormat="1" ht="42.75">
      <c r="B10" s="976"/>
      <c r="C10" s="976"/>
      <c r="D10" s="307" t="s">
        <v>75</v>
      </c>
      <c r="E10" s="307" t="s">
        <v>76</v>
      </c>
      <c r="F10" s="202" t="s">
        <v>116</v>
      </c>
      <c r="G10" s="202" t="s">
        <v>78</v>
      </c>
      <c r="H10" s="202" t="s">
        <v>117</v>
      </c>
      <c r="I10" s="202" t="s">
        <v>118</v>
      </c>
      <c r="J10" s="207" t="s">
        <v>81</v>
      </c>
      <c r="K10" s="206" t="s">
        <v>119</v>
      </c>
      <c r="L10" s="202" t="s">
        <v>120</v>
      </c>
      <c r="M10" s="206" t="s">
        <v>119</v>
      </c>
      <c r="N10" s="202" t="s">
        <v>120</v>
      </c>
      <c r="O10" s="206" t="s">
        <v>119</v>
      </c>
      <c r="P10" s="202" t="s">
        <v>120</v>
      </c>
      <c r="Q10" s="206" t="s">
        <v>119</v>
      </c>
      <c r="R10" s="202" t="s">
        <v>120</v>
      </c>
      <c r="S10" s="206" t="s">
        <v>119</v>
      </c>
      <c r="T10" s="202" t="s">
        <v>120</v>
      </c>
    </row>
    <row r="11" spans="2:20">
      <c r="B11" s="46">
        <v>1</v>
      </c>
      <c r="C11" s="70" t="s">
        <v>121</v>
      </c>
      <c r="D11" s="450">
        <v>1711.25</v>
      </c>
      <c r="E11" s="450">
        <v>2024.37</v>
      </c>
      <c r="F11" s="375">
        <v>2262.4899999999998</v>
      </c>
      <c r="G11" s="375">
        <f>'F2'!F11</f>
        <v>2308.4729500000003</v>
      </c>
      <c r="H11" s="375">
        <f>'F2'!I11</f>
        <v>2422.0538099999994</v>
      </c>
      <c r="I11" s="375"/>
      <c r="J11" s="375"/>
      <c r="K11" s="375"/>
      <c r="L11" s="375"/>
      <c r="M11" s="375"/>
      <c r="N11" s="375"/>
      <c r="O11" s="375"/>
      <c r="P11" s="375"/>
      <c r="Q11" s="375"/>
      <c r="R11" s="375"/>
      <c r="S11" s="375"/>
      <c r="T11" s="375"/>
    </row>
    <row r="12" spans="2:20" s="41" customFormat="1">
      <c r="B12" s="46">
        <f>B11+1</f>
        <v>2</v>
      </c>
      <c r="C12" s="104" t="s">
        <v>122</v>
      </c>
      <c r="D12" s="449">
        <v>785.3</v>
      </c>
      <c r="E12" s="449">
        <v>775.22</v>
      </c>
      <c r="F12" s="375">
        <v>1020.94</v>
      </c>
      <c r="G12" s="375">
        <f>'F2'!F13</f>
        <v>1123.3482279999998</v>
      </c>
      <c r="H12" s="375">
        <f>'F2'!I13</f>
        <v>1106.1293982</v>
      </c>
      <c r="I12" s="438"/>
      <c r="J12" s="438"/>
      <c r="K12" s="438"/>
      <c r="L12" s="438"/>
      <c r="M12" s="438"/>
      <c r="N12" s="438"/>
      <c r="O12" s="438"/>
      <c r="P12" s="438"/>
      <c r="Q12" s="438"/>
      <c r="R12" s="438"/>
      <c r="S12" s="438"/>
      <c r="T12" s="438"/>
    </row>
    <row r="13" spans="2:20">
      <c r="B13" s="46">
        <f>B12+1</f>
        <v>3</v>
      </c>
      <c r="C13" s="70" t="s">
        <v>123</v>
      </c>
      <c r="D13" s="450">
        <v>178.78</v>
      </c>
      <c r="E13" s="450">
        <v>226.36</v>
      </c>
      <c r="F13" s="375">
        <v>170.37</v>
      </c>
      <c r="G13" s="375">
        <f>'F2'!F12</f>
        <v>249.16906700000004</v>
      </c>
      <c r="H13" s="375">
        <f>'F2'!I12</f>
        <v>309.42139930000002</v>
      </c>
      <c r="I13" s="375"/>
      <c r="J13" s="375"/>
      <c r="K13" s="375"/>
      <c r="L13" s="375"/>
      <c r="M13" s="375"/>
      <c r="N13" s="375"/>
      <c r="O13" s="375"/>
      <c r="P13" s="375"/>
      <c r="Q13" s="375"/>
      <c r="R13" s="375"/>
      <c r="S13" s="375"/>
      <c r="T13" s="375"/>
    </row>
    <row r="14" spans="2:20">
      <c r="B14" s="46">
        <f>B13+1</f>
        <v>4</v>
      </c>
      <c r="C14" s="32" t="s">
        <v>124</v>
      </c>
      <c r="D14" s="433">
        <f>D11+D12+D13</f>
        <v>2675.3300000000004</v>
      </c>
      <c r="E14" s="433">
        <v>3025.96</v>
      </c>
      <c r="F14" s="375">
        <v>3453.8</v>
      </c>
      <c r="G14" s="375">
        <f>'F2'!F14</f>
        <v>3680.990245</v>
      </c>
      <c r="H14" s="375">
        <f>'F2'!I14</f>
        <v>3837.6046074999995</v>
      </c>
      <c r="I14" s="375"/>
      <c r="J14" s="375"/>
      <c r="K14" s="375"/>
      <c r="L14" s="375"/>
      <c r="M14" s="375"/>
      <c r="N14" s="375"/>
      <c r="O14" s="375"/>
      <c r="P14" s="375"/>
      <c r="Q14" s="375"/>
      <c r="R14" s="375"/>
      <c r="S14" s="375"/>
      <c r="T14" s="375"/>
    </row>
    <row r="15" spans="2:20">
      <c r="B15" s="46">
        <f>B14+1</f>
        <v>5</v>
      </c>
      <c r="C15" s="32" t="s">
        <v>1234</v>
      </c>
      <c r="D15" s="433">
        <v>-66.67</v>
      </c>
      <c r="E15" s="433">
        <v>-23.79</v>
      </c>
      <c r="F15" s="375">
        <v>-107.41</v>
      </c>
      <c r="G15" s="375">
        <f>'F14'!O33</f>
        <v>-155.93209876755796</v>
      </c>
      <c r="H15" s="375">
        <f>'F14'!P33</f>
        <v>-104.36208886375471</v>
      </c>
      <c r="I15" s="375"/>
      <c r="J15" s="375"/>
      <c r="K15" s="375"/>
      <c r="L15" s="375"/>
      <c r="M15" s="375"/>
      <c r="N15" s="375"/>
      <c r="O15" s="375"/>
      <c r="P15" s="375"/>
      <c r="Q15" s="375"/>
      <c r="R15" s="375"/>
      <c r="S15" s="375"/>
      <c r="T15" s="375"/>
    </row>
    <row r="16" spans="2:20" ht="30">
      <c r="B16" s="46">
        <f>B15+1</f>
        <v>6</v>
      </c>
      <c r="C16" s="75" t="s">
        <v>125</v>
      </c>
      <c r="D16" s="432">
        <v>2452.66</v>
      </c>
      <c r="E16" s="432">
        <v>2840.03</v>
      </c>
      <c r="F16" s="375">
        <v>3064.45</v>
      </c>
      <c r="G16" s="375">
        <f>'F14'!O34</f>
        <v>3369.1260474648839</v>
      </c>
      <c r="H16" s="375">
        <f>'F14'!P34</f>
        <v>3628.8804297724901</v>
      </c>
      <c r="I16" s="375">
        <f>AVERAGE(D16:H16)</f>
        <v>3071.0292954474744</v>
      </c>
      <c r="J16" s="375">
        <f>K26</f>
        <v>3625.9279703498851</v>
      </c>
      <c r="K16" s="375">
        <f>J16*(1+$L$25)</f>
        <v>3793.1645935088322</v>
      </c>
      <c r="L16" s="375">
        <f>K16+L29+L30</f>
        <v>4248.4174582755277</v>
      </c>
      <c r="M16" s="375">
        <f>K16*(1+$L$25)</f>
        <v>3968.1145767660246</v>
      </c>
      <c r="N16" s="375">
        <f>M16+N29</f>
        <v>4120.4737674306389</v>
      </c>
      <c r="O16" s="375">
        <f>M16*(1+$L$25)</f>
        <v>4151.1336790627829</v>
      </c>
      <c r="P16" s="375">
        <f>O16+P29</f>
        <v>4310.5200464287373</v>
      </c>
      <c r="Q16" s="375">
        <f>O16*(1+$L$25)</f>
        <v>4342.5940678086872</v>
      </c>
      <c r="R16" s="375">
        <f>Q16+R29</f>
        <v>4509.3317223689319</v>
      </c>
      <c r="S16" s="375">
        <f>Q16*(1+$L$25)</f>
        <v>4542.8850756800657</v>
      </c>
      <c r="T16" s="375">
        <f>S16+T29</f>
        <v>4717.3130766923414</v>
      </c>
    </row>
    <row r="17" spans="2:20">
      <c r="C17" s="19" t="s">
        <v>1235</v>
      </c>
      <c r="I17" s="19" t="s">
        <v>1239</v>
      </c>
    </row>
    <row r="18" spans="2:20">
      <c r="B18" s="36" t="s">
        <v>126</v>
      </c>
    </row>
    <row r="19" spans="2:20">
      <c r="B19" s="201">
        <v>1</v>
      </c>
      <c r="C19" s="201" t="s">
        <v>127</v>
      </c>
      <c r="D19" s="201"/>
      <c r="E19" s="201"/>
    </row>
    <row r="20" spans="2:20">
      <c r="B20" s="201">
        <v>2</v>
      </c>
      <c r="C20" s="309" t="s">
        <v>128</v>
      </c>
      <c r="D20" s="201"/>
      <c r="E20" s="201"/>
    </row>
    <row r="21" spans="2:20">
      <c r="B21" s="201">
        <v>3</v>
      </c>
      <c r="C21" s="201" t="s">
        <v>129</v>
      </c>
      <c r="D21" s="201"/>
      <c r="E21" s="201"/>
    </row>
    <row r="22" spans="2:20">
      <c r="B22" s="201">
        <v>4</v>
      </c>
      <c r="C22" s="201" t="s">
        <v>130</v>
      </c>
      <c r="D22" s="201"/>
      <c r="E22" s="201"/>
    </row>
    <row r="24" spans="2:20">
      <c r="I24" s="19" t="s">
        <v>1225</v>
      </c>
      <c r="J24" s="19" t="s">
        <v>1226</v>
      </c>
      <c r="K24" s="19" t="s">
        <v>1237</v>
      </c>
      <c r="L24" s="19" t="s">
        <v>1238</v>
      </c>
    </row>
    <row r="25" spans="2:20">
      <c r="H25" s="19" t="s">
        <v>1236</v>
      </c>
      <c r="I25" s="431">
        <f>'F14'!R19</f>
        <v>5.8538546459340673E-2</v>
      </c>
      <c r="J25" s="431">
        <f>'F14'!R24</f>
        <v>5.6122433905605042E-2</v>
      </c>
      <c r="K25" s="431">
        <f>J25</f>
        <v>5.6122433905605042E-2</v>
      </c>
      <c r="L25" s="431">
        <f>K25-1%</f>
        <v>4.612243390560504E-2</v>
      </c>
    </row>
    <row r="26" spans="2:20">
      <c r="H26" s="19" t="s">
        <v>1223</v>
      </c>
      <c r="I26" s="430">
        <f>I16*(1+I25)</f>
        <v>3250.8028865370225</v>
      </c>
      <c r="J26" s="430">
        <f>I26*(1+J25)</f>
        <v>3433.2458566768464</v>
      </c>
      <c r="K26" s="430">
        <f>J26*(1+K25)</f>
        <v>3625.9279703498851</v>
      </c>
      <c r="L26" s="430"/>
    </row>
    <row r="28" spans="2:20">
      <c r="J28" s="19" t="s">
        <v>1237</v>
      </c>
    </row>
    <row r="29" spans="2:20">
      <c r="I29" s="19" t="s">
        <v>1241</v>
      </c>
      <c r="J29" s="19">
        <f>6*J36</f>
        <v>69.610320000000002</v>
      </c>
      <c r="L29" s="19">
        <f>((12*J36)*(1+L25))</f>
        <v>145.64183476669604</v>
      </c>
      <c r="N29" s="19">
        <f>L29*(1+L25)</f>
        <v>152.359190664614</v>
      </c>
      <c r="P29" s="19">
        <f>N29*(1+L25)</f>
        <v>159.38636736595413</v>
      </c>
      <c r="R29" s="19">
        <f>P29*(1+L25)</f>
        <v>166.73765456024483</v>
      </c>
      <c r="T29" s="19">
        <f>R29*(1+L25)</f>
        <v>174.42800101227533</v>
      </c>
    </row>
    <row r="30" spans="2:20">
      <c r="I30" s="19" t="s">
        <v>1242</v>
      </c>
      <c r="J30" s="19">
        <f>(K41+L41)/10^5</f>
        <v>340.38896999999997</v>
      </c>
      <c r="L30" s="19">
        <f>M41/10^5</f>
        <v>309.61103000000003</v>
      </c>
    </row>
    <row r="33" spans="9:16" ht="20.25">
      <c r="I33" s="460" t="s">
        <v>1243</v>
      </c>
      <c r="J33" s="460">
        <v>20532719</v>
      </c>
      <c r="L33" s="430"/>
      <c r="M33" s="430"/>
      <c r="N33" s="430"/>
      <c r="O33" s="430"/>
      <c r="P33" s="430"/>
    </row>
    <row r="34" spans="9:16" ht="20.25">
      <c r="I34" s="460" t="s">
        <v>1244</v>
      </c>
      <c r="J34" s="460">
        <v>21692891</v>
      </c>
    </row>
    <row r="35" spans="9:16">
      <c r="J35" s="19">
        <f>J34-J33</f>
        <v>1160172</v>
      </c>
    </row>
    <row r="36" spans="9:16">
      <c r="I36" s="19" t="s">
        <v>1245</v>
      </c>
      <c r="J36" s="19">
        <f>J35/10^5</f>
        <v>11.60172</v>
      </c>
    </row>
    <row r="40" spans="9:16" ht="63">
      <c r="I40" s="461" t="s">
        <v>2</v>
      </c>
      <c r="J40" s="461" t="s">
        <v>1246</v>
      </c>
      <c r="K40" s="461" t="s">
        <v>1247</v>
      </c>
      <c r="L40" s="461" t="s">
        <v>1248</v>
      </c>
      <c r="M40" s="461" t="s">
        <v>1249</v>
      </c>
      <c r="N40" s="461" t="s">
        <v>281</v>
      </c>
    </row>
    <row r="41" spans="9:16">
      <c r="I41" s="462">
        <v>1</v>
      </c>
      <c r="J41" s="463" t="s">
        <v>1250</v>
      </c>
      <c r="K41" s="463">
        <v>17001762</v>
      </c>
      <c r="L41" s="463">
        <v>17037135</v>
      </c>
      <c r="M41" s="463">
        <v>30961103</v>
      </c>
      <c r="N41" s="463">
        <f>SUM(K41:M41)</f>
        <v>65000000</v>
      </c>
    </row>
  </sheetData>
  <mergeCells count="10">
    <mergeCell ref="B8:B10"/>
    <mergeCell ref="C8:C10"/>
    <mergeCell ref="I8:I9"/>
    <mergeCell ref="K8:T8"/>
    <mergeCell ref="K9:L9"/>
    <mergeCell ref="M9:N9"/>
    <mergeCell ref="Q9:R9"/>
    <mergeCell ref="S9:T9"/>
    <mergeCell ref="O9:P9"/>
    <mergeCell ref="D8:H8"/>
  </mergeCells>
  <pageMargins left="0.11811023622047245" right="0.11811023622047245" top="0.74803149606299213" bottom="0.74803149606299213" header="0.31496062992125984" footer="0.31496062992125984"/>
  <pageSetup scale="45" orientation="landscape" r:id="rId1"/>
</worksheet>
</file>

<file path=xl/worksheets/sheet5.xml><?xml version="1.0" encoding="utf-8"?>
<worksheet xmlns="http://schemas.openxmlformats.org/spreadsheetml/2006/main" xmlns:r="http://schemas.openxmlformats.org/officeDocument/2006/relationships">
  <dimension ref="B2:H74"/>
  <sheetViews>
    <sheetView showGridLines="0" view="pageBreakPreview" topLeftCell="A74" zoomScale="114" zoomScaleNormal="75" workbookViewId="0">
      <selection activeCell="D81" sqref="D81"/>
    </sheetView>
  </sheetViews>
  <sheetFormatPr defaultColWidth="9.28515625" defaultRowHeight="15"/>
  <cols>
    <col min="1" max="1" width="6.7109375" style="17" customWidth="1"/>
    <col min="2" max="2" width="7" style="17" customWidth="1"/>
    <col min="3" max="3" width="42.42578125" style="17" customWidth="1"/>
    <col min="4" max="4" width="16" style="17" customWidth="1"/>
    <col min="5" max="8" width="16" style="154" customWidth="1"/>
    <col min="9" max="16384" width="9.28515625" style="17"/>
  </cols>
  <sheetData>
    <row r="2" spans="2:8" s="19" customFormat="1">
      <c r="B2" s="71"/>
      <c r="C2" s="71"/>
      <c r="D2" s="81" t="s">
        <v>0</v>
      </c>
      <c r="E2" s="71"/>
      <c r="F2" s="154"/>
      <c r="G2" s="154"/>
      <c r="H2" s="154"/>
    </row>
    <row r="3" spans="2:8" s="19" customFormat="1">
      <c r="B3" s="71"/>
      <c r="C3" s="71"/>
      <c r="D3" s="88" t="s">
        <v>1</v>
      </c>
      <c r="E3" s="71"/>
      <c r="F3" s="154"/>
      <c r="G3" s="154"/>
      <c r="H3" s="154"/>
    </row>
    <row r="4" spans="2:8" s="19" customFormat="1">
      <c r="B4" s="63"/>
      <c r="C4" s="63"/>
      <c r="D4" s="81" t="s">
        <v>131</v>
      </c>
      <c r="E4" s="63"/>
      <c r="F4" s="154"/>
      <c r="G4" s="154"/>
      <c r="H4" s="154"/>
    </row>
    <row r="5" spans="2:8">
      <c r="E5" s="86"/>
    </row>
    <row r="6" spans="2:8" s="19" customFormat="1">
      <c r="C6" s="21"/>
      <c r="D6" s="21"/>
      <c r="E6" s="86"/>
      <c r="F6" s="154"/>
      <c r="G6" s="154"/>
      <c r="H6" s="154"/>
    </row>
    <row r="7" spans="2:8">
      <c r="B7" s="23" t="s">
        <v>132</v>
      </c>
    </row>
    <row r="8" spans="2:8">
      <c r="H8" s="62" t="s">
        <v>1198</v>
      </c>
    </row>
    <row r="9" spans="2:8" ht="12.75" customHeight="1">
      <c r="B9" s="983" t="s">
        <v>133</v>
      </c>
      <c r="C9" s="983" t="s">
        <v>57</v>
      </c>
      <c r="D9" s="206" t="s">
        <v>58</v>
      </c>
      <c r="E9" s="206" t="s">
        <v>59</v>
      </c>
      <c r="F9" s="954" t="s">
        <v>60</v>
      </c>
      <c r="G9" s="954"/>
      <c r="H9" s="954"/>
    </row>
    <row r="10" spans="2:8" ht="28.5">
      <c r="B10" s="984"/>
      <c r="C10" s="984"/>
      <c r="D10" s="198" t="s">
        <v>64</v>
      </c>
      <c r="E10" s="198" t="s">
        <v>64</v>
      </c>
      <c r="F10" s="198" t="s">
        <v>134</v>
      </c>
      <c r="G10" s="198" t="s">
        <v>67</v>
      </c>
      <c r="H10" s="198" t="s">
        <v>68</v>
      </c>
    </row>
    <row r="11" spans="2:8">
      <c r="B11" s="33">
        <v>1</v>
      </c>
      <c r="C11" s="30" t="s">
        <v>135</v>
      </c>
      <c r="D11" s="375">
        <f>('TB22-23'!E417+'TB22-23'!E418)/10^5</f>
        <v>1190.2591600000001</v>
      </c>
      <c r="E11" s="388">
        <f>('TB23-24'!E417+'TB23-24'!E418)/10^5</f>
        <v>1222.22668</v>
      </c>
      <c r="F11" s="388">
        <f>('TB24-25_sept24'!E405+'TB24-25_sept24'!E406)/10^5</f>
        <v>633.63134000000002</v>
      </c>
      <c r="G11" s="388"/>
      <c r="H11" s="388"/>
    </row>
    <row r="12" spans="2:8">
      <c r="B12" s="33">
        <v>2</v>
      </c>
      <c r="C12" s="30" t="s">
        <v>136</v>
      </c>
      <c r="D12" s="375">
        <f>('TB22-23'!E420+'TB22-23'!E421)/10^5</f>
        <v>506.96985999999998</v>
      </c>
      <c r="E12" s="388">
        <f>('TB23-24'!E420+'TB23-24'!E421)/10^5</f>
        <v>563.97816</v>
      </c>
      <c r="F12" s="388">
        <f>('TB24-25_sept24'!E408+'TB24-25_sept24'!E409)/10^5</f>
        <v>328.09316999999999</v>
      </c>
      <c r="G12" s="388"/>
      <c r="H12" s="388"/>
    </row>
    <row r="13" spans="2:8">
      <c r="B13" s="33">
        <v>3</v>
      </c>
      <c r="C13" s="24" t="s">
        <v>137</v>
      </c>
      <c r="D13" s="375">
        <f>('TB22-23'!E449+'TB22-23'!E450)/10^5</f>
        <v>225.15004999999999</v>
      </c>
      <c r="E13" s="388">
        <f>('TB23-24'!E449+'TB23-24'!E450)/10^5</f>
        <v>224.03872999999999</v>
      </c>
      <c r="F13" s="388">
        <f>('TB24-25_sept24'!E436+'TB24-25_sept24'!E437)/10^5</f>
        <v>114.83503</v>
      </c>
      <c r="G13" s="388"/>
      <c r="H13" s="388"/>
    </row>
    <row r="14" spans="2:8">
      <c r="B14" s="33">
        <v>4</v>
      </c>
      <c r="C14" s="30" t="s">
        <v>138</v>
      </c>
      <c r="D14" s="375">
        <f>('TB22-23'!E464+'TB22-23'!E465)/10^5</f>
        <v>11.540330000000001</v>
      </c>
      <c r="E14" s="388">
        <f>('TB23-24'!E464+'TB23-24'!E465)/10^5</f>
        <v>11.36533</v>
      </c>
      <c r="F14" s="388">
        <f>('TB24-25_sept24'!E452+'TB24-25_sept24'!E453)/10^5</f>
        <v>5.58127</v>
      </c>
      <c r="G14" s="388"/>
      <c r="H14" s="388"/>
    </row>
    <row r="15" spans="2:8">
      <c r="B15" s="33">
        <v>5</v>
      </c>
      <c r="C15" s="30" t="s">
        <v>139</v>
      </c>
      <c r="D15" s="375">
        <f>('TB22-23'!E471+'TB22-23'!E472)/10^5</f>
        <v>3.5434299999999999</v>
      </c>
      <c r="E15" s="388">
        <f>('TB23-24'!E471+'TB23-24'!E472)/10^5</f>
        <v>5.1940099999999996</v>
      </c>
      <c r="F15" s="388">
        <f>('TB24-25_sept24'!E459+'TB24-25_sept24'!E460)/10^5</f>
        <v>1.34324</v>
      </c>
      <c r="G15" s="388"/>
      <c r="H15" s="388"/>
    </row>
    <row r="16" spans="2:8">
      <c r="B16" s="33">
        <v>6</v>
      </c>
      <c r="C16" s="24" t="s">
        <v>140</v>
      </c>
      <c r="D16" s="375"/>
      <c r="E16" s="388"/>
      <c r="F16" s="388"/>
      <c r="G16" s="388"/>
      <c r="H16" s="388"/>
    </row>
    <row r="17" spans="2:8">
      <c r="B17" s="33">
        <v>7</v>
      </c>
      <c r="C17" s="30" t="s">
        <v>141</v>
      </c>
      <c r="D17" s="375">
        <f>('TB22-23'!E422+'TB22-23'!E423+'TB22-23'!E426+'TB22-23'!E427+'TB22-23'!E428+'TB22-23'!E429+'TB22-23'!E430+'TB22-23'!E431+'TB22-23'!E432+'TB22-23'!E433+'TB22-23'!E434+'TB22-23'!E435+'TB22-23'!E436+'TB22-23'!E437+'TB22-23'!E438+'TB22-23'!E439+'TB22-23'!E440+'TB22-23'!E441+'TB22-23'!E442+'TB22-23'!E443+'TB22-23'!E444+'TB22-23'!E445+'TB22-23'!E446+'TB22-23'!E447+'TB22-23'!E448+'TB22-23'!E451+'TB22-23'!E452+'TB22-23'!E453+'TB22-23'!E454+'TB22-23'!E455+'TB22-23'!E456+'TB22-23'!E457+'TB22-23'!E458+'TB22-23'!E459+'TB22-23'!E460+'TB22-23'!E461+'TB22-23'!E462+'TB22-23'!E463+'TB22-23'!E466+'TB22-23'!E467+'TB22-23'!E468+'TB22-23'!E469+'TB22-23'!E473+'TB22-23'!E474+'TB22-23'!E476+'TB22-23'!E477+'TB22-23'!E479+'TB22-23'!E490)/10^5</f>
        <v>146.27244999999999</v>
      </c>
      <c r="E17" s="388">
        <f>('TB23-24'!E422+'TB23-24'!E423+'TB23-24'!E426+'TB23-24'!E427+'TB23-24'!E428+'TB23-24'!E429+'TB23-24'!E430+'TB23-24'!E431+'TB23-24'!E432+'TB23-24'!E433+'TB23-24'!E434+'TB23-24'!E435+'TB23-24'!E436+'TB23-24'!E437+'TB23-24'!E438+'TB23-24'!E439+'TB23-24'!E440+'TB23-24'!E441+'TB23-24'!E442+'TB23-24'!E443+'TB23-24'!E444+'TB23-24'!E445+'TB23-24'!E446+'TB23-24'!E447+'TB23-24'!E448+'TB23-24'!E451+'TB23-24'!E452+'TB23-24'!E453+'TB23-24'!E454+'TB23-24'!E455+'TB23-24'!E456+'TB23-24'!E457+'TB23-24'!E458+'TB23-24'!E459+'TB23-24'!E460+'TB23-24'!E461+'TB23-24'!E462+'TB23-24'!E463+'TB23-24'!E466+'TB23-24'!E467+'TB23-24'!E468+'TB23-24'!E469+'TB23-24'!E473+'TB23-24'!E474+'TB23-24'!E476+'TB23-24'!E477+'TB23-24'!E478+'TB23-24'!E479+'TB23-24'!E490)/10^5</f>
        <v>158.38138000000001</v>
      </c>
      <c r="F17" s="370">
        <f>('TB24-25_sept24'!E412+'TB24-25_sept24'!E413+'TB24-25_sept24'!E414+'TB24-25_sept24'!E415+'TB24-25_sept24'!E416+'TB24-25_sept24'!E417+'TB24-25_sept24'!E418+'TB24-25_sept24'!E419+'TB24-25_sept24'!E420+'TB24-25_sept24'!E421+'TB24-25_sept24'!E422+'TB24-25_sept24'!E423+'TB24-25_sept24'!E424+'TB24-25_sept24'!E425+'TB24-25_sept24'!E426+'TB24-25_sept24'!E427+'TB24-25_sept24'!E428+'TB24-25_sept24'!E429+'TB24-25_sept24'!E430+'TB24-25_sept24'!E431+'TB24-25_sept24'!E432+'TB24-25_sept24'!E433+'TB24-25_sept24'!E434+'TB24-25_sept24'!E435+'TB24-25_sept24'!E438+'TB24-25_sept24'!E439+'TB24-25_sept24'!E440+'TB24-25_sept24'!E441+'TB24-25_sept24'!E442+'TB24-25_sept24'!E443+'TB24-25_sept24'!E444+'TB24-25_sept24'!E445+'TB24-25_sept24'!E446+'TB24-25_sept24'!E447+'TB24-25_sept24'!E448+'TB24-25_sept24'!E449+'TB24-25_sept24'!E450+'TB24-25_sept24'!E451+'TB24-25_sept24'!E454+'TB24-25_sept24'!E455+'TB24-25_sept24'!E456+'TB24-25_sept24'!E457+'TB24-25_sept24'!E461+'TB24-25_sept24'!E462+'TB24-25_sept24'!E463+'TB24-25_sept24'!E464+'TB24-25_sept24'!E465+'TB24-25_sept24'!E466)/10^5</f>
        <v>101.4474</v>
      </c>
      <c r="G17" s="388"/>
      <c r="H17" s="388"/>
    </row>
    <row r="18" spans="2:8">
      <c r="B18" s="33">
        <v>8</v>
      </c>
      <c r="C18" s="30" t="s">
        <v>142</v>
      </c>
      <c r="D18" s="375">
        <f>('TB22-23'!E470)/10^5</f>
        <v>0.49</v>
      </c>
      <c r="E18" s="388">
        <f>('TB23-24'!E470)/10^5</f>
        <v>0.24890000000000001</v>
      </c>
      <c r="F18" s="388">
        <f>('TB24-25_sept24'!E458)/10^5</f>
        <v>0.18229999999999999</v>
      </c>
      <c r="G18" s="388"/>
      <c r="H18" s="388"/>
    </row>
    <row r="19" spans="2:8">
      <c r="B19" s="33">
        <v>9</v>
      </c>
      <c r="C19" s="30" t="s">
        <v>143</v>
      </c>
      <c r="D19" s="375">
        <f>('TB22-23'!E419)/10^5</f>
        <v>0.27100000000000002</v>
      </c>
      <c r="E19" s="388">
        <f>('TB23-24'!E419)/10^5</f>
        <v>8.1000000000000003E-2</v>
      </c>
      <c r="F19" s="388">
        <f>('TB24-25_sept24'!E407)/10^5</f>
        <v>0</v>
      </c>
      <c r="G19" s="388"/>
      <c r="H19" s="388"/>
    </row>
    <row r="20" spans="2:8">
      <c r="B20" s="33">
        <v>10</v>
      </c>
      <c r="C20" s="30" t="s">
        <v>144</v>
      </c>
      <c r="D20" s="375">
        <f>('TB22-23'!E424+'TB22-23'!E425)/10^5</f>
        <v>19.186990000000002</v>
      </c>
      <c r="E20" s="388">
        <f>('TB23-24'!E424+'TB23-24'!E425)/10^5</f>
        <v>21.061859999999999</v>
      </c>
      <c r="F20" s="388">
        <f>('TB24-25_sept24'!E410+'TB24-25_sept24'!E411)/10^5</f>
        <v>0</v>
      </c>
      <c r="G20" s="388"/>
      <c r="H20" s="388"/>
    </row>
    <row r="21" spans="2:8">
      <c r="B21" s="33">
        <v>11</v>
      </c>
      <c r="C21" s="30" t="s">
        <v>145</v>
      </c>
      <c r="D21" s="375"/>
      <c r="E21" s="388"/>
      <c r="F21" s="388"/>
      <c r="G21" s="388"/>
      <c r="H21" s="388"/>
    </row>
    <row r="22" spans="2:8">
      <c r="B22" s="33">
        <v>12</v>
      </c>
      <c r="C22" s="30" t="s">
        <v>146</v>
      </c>
      <c r="D22" s="375">
        <f>('TB22-23'!E480+'TB22-23'!E481)/10^5</f>
        <v>0.3</v>
      </c>
      <c r="E22" s="388">
        <f>('TB23-24'!E480+'TB23-24'!E481)/10^5</f>
        <v>0.54800000000000004</v>
      </c>
      <c r="F22" s="388">
        <f>('TB24-25_sept24'!E467+'TB24-25_sept24'!E468)/10^5</f>
        <v>9.6</v>
      </c>
      <c r="G22" s="388"/>
      <c r="H22" s="388"/>
    </row>
    <row r="23" spans="2:8">
      <c r="B23" s="33">
        <v>13</v>
      </c>
      <c r="C23" s="30" t="s">
        <v>147</v>
      </c>
      <c r="D23" s="375"/>
      <c r="E23" s="388"/>
      <c r="F23" s="388"/>
      <c r="G23" s="388"/>
      <c r="H23" s="388"/>
    </row>
    <row r="24" spans="2:8">
      <c r="B24" s="33">
        <v>14</v>
      </c>
      <c r="C24" s="30" t="s">
        <v>148</v>
      </c>
      <c r="D24" s="375"/>
      <c r="E24" s="388"/>
      <c r="F24" s="388"/>
      <c r="G24" s="388"/>
      <c r="H24" s="388"/>
    </row>
    <row r="25" spans="2:8">
      <c r="B25" s="33">
        <v>15</v>
      </c>
      <c r="C25" s="30" t="s">
        <v>149</v>
      </c>
      <c r="D25" s="375"/>
      <c r="E25" s="388"/>
      <c r="F25" s="388"/>
      <c r="G25" s="388"/>
      <c r="H25" s="388"/>
    </row>
    <row r="26" spans="2:8">
      <c r="B26" s="33">
        <v>16</v>
      </c>
      <c r="C26" s="30" t="s">
        <v>150</v>
      </c>
      <c r="D26" s="375">
        <f>('TB22-23'!E475)/10^5</f>
        <v>0</v>
      </c>
      <c r="E26" s="388">
        <f>('TB23-24'!E475)/10^5</f>
        <v>0</v>
      </c>
      <c r="F26" s="388">
        <f>('TB24-25_sept24'!E420+'TB24-25_sept24'!E421)/10^5</f>
        <v>1.2999999999999999E-2</v>
      </c>
      <c r="G26" s="388"/>
      <c r="H26" s="388"/>
    </row>
    <row r="27" spans="2:8">
      <c r="B27" s="33">
        <v>17</v>
      </c>
      <c r="C27" s="30" t="s">
        <v>151</v>
      </c>
      <c r="D27" s="387">
        <f>SUM(D11:D26)</f>
        <v>2103.9832700000002</v>
      </c>
      <c r="E27" s="387">
        <f>SUM(E11:E26)</f>
        <v>2207.1240499999994</v>
      </c>
      <c r="F27" s="387">
        <f>SUM(F11:F26)</f>
        <v>1194.7267499999996</v>
      </c>
      <c r="G27" s="388"/>
      <c r="H27" s="388"/>
    </row>
    <row r="28" spans="2:8">
      <c r="B28" s="33">
        <v>18</v>
      </c>
      <c r="C28" s="30" t="s">
        <v>152</v>
      </c>
      <c r="D28" s="375"/>
      <c r="E28" s="388"/>
      <c r="F28" s="388"/>
      <c r="G28" s="388"/>
      <c r="H28" s="388"/>
    </row>
    <row r="29" spans="2:8">
      <c r="B29" s="33">
        <f>+B28+0.1</f>
        <v>18.100000000000001</v>
      </c>
      <c r="C29" s="30" t="s">
        <v>153</v>
      </c>
      <c r="D29" s="375">
        <f>('TB22-23'!E488+'TB22-23'!E489)/10^5</f>
        <v>187.15266</v>
      </c>
      <c r="E29" s="388">
        <f>('TB23-24'!E488+'TB23-24'!E489)/10^5</f>
        <v>198.76396</v>
      </c>
      <c r="F29" s="388">
        <f>('TB24-25_sept24'!E475+'TB24-25_sept24'!E476)/10^5</f>
        <v>109.18247</v>
      </c>
      <c r="G29" s="388"/>
      <c r="H29" s="388"/>
    </row>
    <row r="30" spans="2:8">
      <c r="B30" s="33">
        <f>+B29+0.1</f>
        <v>18.200000000000003</v>
      </c>
      <c r="C30" s="30" t="s">
        <v>154</v>
      </c>
      <c r="D30" s="375"/>
      <c r="E30" s="388"/>
      <c r="F30" s="388"/>
      <c r="G30" s="388"/>
      <c r="H30" s="388"/>
    </row>
    <row r="31" spans="2:8">
      <c r="B31" s="33">
        <f>+B30+0.1</f>
        <v>18.300000000000004</v>
      </c>
      <c r="C31" s="30" t="s">
        <v>155</v>
      </c>
      <c r="D31" s="375">
        <f>('TB22-23'!E484+'TB22-23'!E485+'TB22-23'!E486+'TB22-23'!E487)/10^5</f>
        <v>17.337019999999999</v>
      </c>
      <c r="E31" s="388">
        <f>('TB23-24'!E484+'TB23-24'!E485+'TB23-24'!E486+'TB23-24'!E487)/10^5</f>
        <v>16.165800000000001</v>
      </c>
      <c r="F31" s="388">
        <f>('TB24-25_sept24'!E471+'TB24-25_sept24'!E472+'TB24-25_sept24'!E473+'TB24-25_sept24'!E474)/10^5</f>
        <v>6.6966999999999999</v>
      </c>
      <c r="G31" s="388"/>
      <c r="H31" s="388"/>
    </row>
    <row r="32" spans="2:8">
      <c r="B32" s="33">
        <f>+B31+0.1</f>
        <v>18.400000000000006</v>
      </c>
      <c r="C32" s="30" t="s">
        <v>156</v>
      </c>
      <c r="D32" s="375">
        <f>'TB22-23'!E491/10^5</f>
        <v>0</v>
      </c>
      <c r="E32" s="388">
        <f>('TB23-24'!E491)/10^5</f>
        <v>0</v>
      </c>
      <c r="F32" s="388"/>
      <c r="G32" s="388"/>
      <c r="H32" s="388"/>
    </row>
    <row r="33" spans="2:8">
      <c r="B33" s="33">
        <v>19</v>
      </c>
      <c r="C33" s="30" t="s">
        <v>157</v>
      </c>
      <c r="D33" s="375"/>
      <c r="E33" s="388"/>
      <c r="F33" s="388"/>
      <c r="G33" s="388"/>
      <c r="H33" s="388"/>
    </row>
    <row r="34" spans="2:8">
      <c r="B34" s="44">
        <v>20</v>
      </c>
      <c r="C34" s="42" t="s">
        <v>158</v>
      </c>
      <c r="D34" s="387">
        <f>D27+SUM(D29:D33)</f>
        <v>2308.4729500000003</v>
      </c>
      <c r="E34" s="387">
        <f>E27+SUM(E29:E33)</f>
        <v>2422.0538099999994</v>
      </c>
      <c r="F34" s="387">
        <f>F27+SUM(F29:F33)</f>
        <v>1310.6059199999995</v>
      </c>
      <c r="G34" s="388"/>
      <c r="H34" s="388"/>
    </row>
    <row r="35" spans="2:8">
      <c r="B35" s="33">
        <v>21</v>
      </c>
      <c r="C35" s="30" t="s">
        <v>159</v>
      </c>
      <c r="D35" s="375"/>
      <c r="E35" s="388"/>
      <c r="F35" s="388"/>
      <c r="G35" s="388"/>
      <c r="H35" s="388"/>
    </row>
    <row r="36" spans="2:8">
      <c r="B36" s="44">
        <v>21</v>
      </c>
      <c r="C36" s="29" t="s">
        <v>160</v>
      </c>
      <c r="D36" s="383">
        <f>D34</f>
        <v>2308.4729500000003</v>
      </c>
      <c r="E36" s="383">
        <f t="shared" ref="E36:F36" si="0">E34</f>
        <v>2422.0538099999994</v>
      </c>
      <c r="F36" s="383">
        <f t="shared" si="0"/>
        <v>1310.6059199999995</v>
      </c>
      <c r="G36" s="388"/>
      <c r="H36" s="388"/>
    </row>
    <row r="39" spans="2:8">
      <c r="B39" s="23" t="s">
        <v>161</v>
      </c>
    </row>
    <row r="40" spans="2:8">
      <c r="H40" s="290" t="s">
        <v>162</v>
      </c>
    </row>
    <row r="41" spans="2:8" ht="12.75" customHeight="1">
      <c r="B41" s="983" t="s">
        <v>133</v>
      </c>
      <c r="C41" s="983" t="s">
        <v>57</v>
      </c>
      <c r="D41" s="206" t="s">
        <v>58</v>
      </c>
      <c r="E41" s="206" t="s">
        <v>59</v>
      </c>
      <c r="F41" s="954" t="s">
        <v>60</v>
      </c>
      <c r="G41" s="954"/>
      <c r="H41" s="954"/>
    </row>
    <row r="42" spans="2:8" ht="28.5">
      <c r="B42" s="984"/>
      <c r="C42" s="984"/>
      <c r="D42" s="198" t="s">
        <v>64</v>
      </c>
      <c r="E42" s="198" t="s">
        <v>64</v>
      </c>
      <c r="F42" s="198" t="s">
        <v>134</v>
      </c>
      <c r="G42" s="198" t="s">
        <v>67</v>
      </c>
      <c r="H42" s="198" t="s">
        <v>68</v>
      </c>
    </row>
    <row r="43" spans="2:8">
      <c r="B43" s="24"/>
      <c r="C43" s="24"/>
      <c r="D43" s="24"/>
      <c r="E43" s="24"/>
      <c r="F43" s="24"/>
      <c r="G43" s="24"/>
      <c r="H43" s="24"/>
    </row>
    <row r="44" spans="2:8">
      <c r="B44" s="44" t="s">
        <v>163</v>
      </c>
      <c r="C44" s="29" t="s">
        <v>164</v>
      </c>
      <c r="D44" s="29"/>
      <c r="E44" s="24"/>
      <c r="F44" s="24"/>
      <c r="G44" s="24"/>
      <c r="H44" s="24"/>
    </row>
    <row r="45" spans="2:8">
      <c r="B45" s="46">
        <v>1</v>
      </c>
      <c r="C45" s="76" t="s">
        <v>165</v>
      </c>
      <c r="D45" s="663">
        <v>88</v>
      </c>
      <c r="E45" s="662">
        <v>89</v>
      </c>
      <c r="F45" s="662">
        <v>90</v>
      </c>
      <c r="G45" s="662">
        <v>88</v>
      </c>
      <c r="H45" s="662">
        <v>88</v>
      </c>
    </row>
    <row r="46" spans="2:8">
      <c r="B46" s="46">
        <v>2</v>
      </c>
      <c r="C46" s="76" t="s">
        <v>166</v>
      </c>
      <c r="D46" s="663">
        <v>11</v>
      </c>
      <c r="E46" s="662">
        <v>9</v>
      </c>
      <c r="F46" s="662">
        <v>9</v>
      </c>
      <c r="G46" s="662">
        <v>9</v>
      </c>
      <c r="H46" s="662">
        <v>9</v>
      </c>
    </row>
    <row r="47" spans="2:8">
      <c r="B47" s="46">
        <v>3</v>
      </c>
      <c r="C47" s="76" t="s">
        <v>167</v>
      </c>
      <c r="D47" s="663">
        <v>8</v>
      </c>
      <c r="E47" s="662">
        <v>7</v>
      </c>
      <c r="F47" s="662">
        <v>6</v>
      </c>
      <c r="G47" s="662">
        <v>6</v>
      </c>
      <c r="H47" s="662">
        <v>6</v>
      </c>
    </row>
    <row r="48" spans="2:8">
      <c r="B48" s="46">
        <v>4</v>
      </c>
      <c r="C48" s="76" t="s">
        <v>168</v>
      </c>
      <c r="D48" s="663">
        <v>5</v>
      </c>
      <c r="E48" s="662">
        <v>4</v>
      </c>
      <c r="F48" s="662">
        <v>4</v>
      </c>
      <c r="G48" s="662">
        <v>4</v>
      </c>
      <c r="H48" s="662">
        <v>4</v>
      </c>
    </row>
    <row r="49" spans="2:8">
      <c r="B49" s="46"/>
      <c r="C49" s="76"/>
      <c r="D49" s="663">
        <v>112</v>
      </c>
      <c r="E49" s="662">
        <v>109</v>
      </c>
      <c r="F49" s="662">
        <v>109</v>
      </c>
      <c r="G49" s="662">
        <v>107</v>
      </c>
      <c r="H49" s="662">
        <v>107</v>
      </c>
    </row>
    <row r="50" spans="2:8">
      <c r="B50" s="77" t="s">
        <v>169</v>
      </c>
      <c r="C50" s="78" t="s">
        <v>170</v>
      </c>
      <c r="D50" s="664"/>
      <c r="E50" s="662"/>
      <c r="F50" s="662"/>
      <c r="G50" s="662"/>
      <c r="H50" s="662"/>
    </row>
    <row r="51" spans="2:8">
      <c r="B51" s="46">
        <v>5</v>
      </c>
      <c r="C51" s="78" t="s">
        <v>165</v>
      </c>
      <c r="D51" s="664"/>
      <c r="E51" s="662"/>
      <c r="F51" s="662"/>
      <c r="G51" s="662"/>
      <c r="H51" s="662"/>
    </row>
    <row r="52" spans="2:8">
      <c r="B52" s="46">
        <f>+B51+0.1</f>
        <v>5.0999999999999996</v>
      </c>
      <c r="C52" s="76" t="s">
        <v>171</v>
      </c>
      <c r="D52" s="663">
        <v>40</v>
      </c>
      <c r="E52" s="662">
        <v>44</v>
      </c>
      <c r="F52" s="662">
        <v>44</v>
      </c>
      <c r="G52" s="662">
        <v>44</v>
      </c>
      <c r="H52" s="662">
        <v>44</v>
      </c>
    </row>
    <row r="53" spans="2:8">
      <c r="B53" s="46">
        <f>+B52+0.1</f>
        <v>5.1999999999999993</v>
      </c>
      <c r="C53" s="76" t="s">
        <v>172</v>
      </c>
      <c r="D53" s="663">
        <v>45</v>
      </c>
      <c r="E53" s="662">
        <v>43</v>
      </c>
      <c r="F53" s="662">
        <v>44</v>
      </c>
      <c r="G53" s="662">
        <v>44</v>
      </c>
      <c r="H53" s="662">
        <v>44</v>
      </c>
    </row>
    <row r="54" spans="2:8">
      <c r="B54" s="46">
        <f>+B53+0.1</f>
        <v>5.2999999999999989</v>
      </c>
      <c r="C54" s="76" t="s">
        <v>173</v>
      </c>
      <c r="D54" s="663">
        <v>0</v>
      </c>
      <c r="E54" s="662">
        <v>0</v>
      </c>
      <c r="F54" s="662">
        <v>0</v>
      </c>
      <c r="G54" s="662">
        <v>0</v>
      </c>
      <c r="H54" s="662">
        <v>0</v>
      </c>
    </row>
    <row r="55" spans="2:8">
      <c r="B55" s="46">
        <f>+B54+0.1</f>
        <v>5.3999999999999986</v>
      </c>
      <c r="C55" s="76" t="s">
        <v>174</v>
      </c>
      <c r="D55" s="663">
        <v>3</v>
      </c>
      <c r="E55" s="662">
        <v>2</v>
      </c>
      <c r="F55" s="662">
        <v>2</v>
      </c>
      <c r="G55" s="662">
        <v>0</v>
      </c>
      <c r="H55" s="662">
        <v>0</v>
      </c>
    </row>
    <row r="56" spans="2:8">
      <c r="B56" s="46"/>
      <c r="C56" s="76"/>
      <c r="D56" s="663">
        <v>88</v>
      </c>
      <c r="E56" s="662">
        <v>89</v>
      </c>
      <c r="F56" s="662">
        <v>90</v>
      </c>
      <c r="G56" s="662">
        <v>88</v>
      </c>
      <c r="H56" s="662">
        <v>88</v>
      </c>
    </row>
    <row r="57" spans="2:8">
      <c r="B57" s="46">
        <v>6</v>
      </c>
      <c r="C57" s="78" t="s">
        <v>166</v>
      </c>
      <c r="D57" s="664"/>
      <c r="E57" s="662"/>
      <c r="F57" s="662"/>
      <c r="G57" s="662"/>
      <c r="H57" s="662"/>
    </row>
    <row r="58" spans="2:8">
      <c r="B58" s="46">
        <f>+B57+0.1</f>
        <v>6.1</v>
      </c>
      <c r="C58" s="76" t="s">
        <v>171</v>
      </c>
      <c r="D58" s="663">
        <v>1</v>
      </c>
      <c r="E58" s="662">
        <v>1</v>
      </c>
      <c r="F58" s="662">
        <v>1</v>
      </c>
      <c r="G58" s="662">
        <v>1</v>
      </c>
      <c r="H58" s="662">
        <v>1</v>
      </c>
    </row>
    <row r="59" spans="2:8">
      <c r="B59" s="46">
        <f>+B58+0.1</f>
        <v>6.1999999999999993</v>
      </c>
      <c r="C59" s="76" t="s">
        <v>172</v>
      </c>
      <c r="D59" s="663">
        <v>0</v>
      </c>
      <c r="E59" s="662">
        <v>0</v>
      </c>
      <c r="F59" s="662">
        <v>0</v>
      </c>
      <c r="G59" s="662">
        <v>0</v>
      </c>
      <c r="H59" s="662">
        <v>0</v>
      </c>
    </row>
    <row r="60" spans="2:8">
      <c r="B60" s="46">
        <f>+B59+0.1</f>
        <v>6.2999999999999989</v>
      </c>
      <c r="C60" s="76" t="s">
        <v>173</v>
      </c>
      <c r="D60" s="663">
        <v>8</v>
      </c>
      <c r="E60" s="662">
        <v>6</v>
      </c>
      <c r="F60" s="662">
        <v>6</v>
      </c>
      <c r="G60" s="662">
        <v>6</v>
      </c>
      <c r="H60" s="662">
        <v>6</v>
      </c>
    </row>
    <row r="61" spans="2:8">
      <c r="B61" s="46">
        <f>+B60+0.1</f>
        <v>6.3999999999999986</v>
      </c>
      <c r="C61" s="76" t="s">
        <v>174</v>
      </c>
      <c r="D61" s="663">
        <v>2</v>
      </c>
      <c r="E61" s="662">
        <v>2</v>
      </c>
      <c r="F61" s="662">
        <v>2</v>
      </c>
      <c r="G61" s="662">
        <v>2</v>
      </c>
      <c r="H61" s="662">
        <v>2</v>
      </c>
    </row>
    <row r="62" spans="2:8">
      <c r="B62" s="46"/>
      <c r="C62" s="76"/>
      <c r="D62" s="663">
        <v>11</v>
      </c>
      <c r="E62" s="662">
        <v>9</v>
      </c>
      <c r="F62" s="662">
        <v>9</v>
      </c>
      <c r="G62" s="662">
        <v>9</v>
      </c>
      <c r="H62" s="662">
        <v>9</v>
      </c>
    </row>
    <row r="63" spans="2:8">
      <c r="B63" s="46">
        <v>7</v>
      </c>
      <c r="C63" s="78" t="s">
        <v>167</v>
      </c>
      <c r="D63" s="664"/>
      <c r="E63" s="662"/>
      <c r="F63" s="662"/>
      <c r="G63" s="662"/>
      <c r="H63" s="662"/>
    </row>
    <row r="64" spans="2:8">
      <c r="B64" s="46">
        <f>+B63+0.1</f>
        <v>7.1</v>
      </c>
      <c r="C64" s="76" t="s">
        <v>171</v>
      </c>
      <c r="D64" s="663">
        <v>2</v>
      </c>
      <c r="E64" s="662">
        <v>2</v>
      </c>
      <c r="F64" s="662">
        <v>1</v>
      </c>
      <c r="G64" s="662">
        <v>1</v>
      </c>
      <c r="H64" s="662">
        <v>1</v>
      </c>
    </row>
    <row r="65" spans="2:8">
      <c r="B65" s="46">
        <f>+B64+0.1</f>
        <v>7.1999999999999993</v>
      </c>
      <c r="C65" s="76" t="s">
        <v>172</v>
      </c>
      <c r="D65" s="663">
        <v>2</v>
      </c>
      <c r="E65" s="662">
        <v>2</v>
      </c>
      <c r="F65" s="662">
        <v>2</v>
      </c>
      <c r="G65" s="662">
        <v>2</v>
      </c>
      <c r="H65" s="662">
        <v>2</v>
      </c>
    </row>
    <row r="66" spans="2:8">
      <c r="B66" s="46">
        <f>+B65+0.1</f>
        <v>7.2999999999999989</v>
      </c>
      <c r="C66" s="76" t="s">
        <v>173</v>
      </c>
      <c r="D66" s="663">
        <v>4</v>
      </c>
      <c r="E66" s="662">
        <v>3</v>
      </c>
      <c r="F66" s="662">
        <v>3</v>
      </c>
      <c r="G66" s="662">
        <v>3</v>
      </c>
      <c r="H66" s="662">
        <v>3</v>
      </c>
    </row>
    <row r="67" spans="2:8">
      <c r="B67" s="46">
        <f>+B66+0.1</f>
        <v>7.3999999999999986</v>
      </c>
      <c r="C67" s="76" t="s">
        <v>174</v>
      </c>
      <c r="D67" s="663">
        <v>0</v>
      </c>
      <c r="E67" s="662">
        <v>0</v>
      </c>
      <c r="F67" s="662">
        <v>0</v>
      </c>
      <c r="G67" s="662">
        <v>0</v>
      </c>
      <c r="H67" s="662">
        <v>0</v>
      </c>
    </row>
    <row r="68" spans="2:8">
      <c r="B68" s="46"/>
      <c r="C68" s="76"/>
      <c r="D68" s="663">
        <v>8</v>
      </c>
      <c r="E68" s="663">
        <v>7</v>
      </c>
      <c r="F68" s="663">
        <v>6</v>
      </c>
      <c r="G68" s="663">
        <v>6</v>
      </c>
      <c r="H68" s="663">
        <v>6</v>
      </c>
    </row>
    <row r="69" spans="2:8">
      <c r="B69" s="46">
        <v>8</v>
      </c>
      <c r="C69" s="78" t="s">
        <v>175</v>
      </c>
      <c r="D69" s="664"/>
      <c r="E69" s="662"/>
      <c r="F69" s="662"/>
      <c r="G69" s="662"/>
      <c r="H69" s="662"/>
    </row>
    <row r="70" spans="2:8">
      <c r="B70" s="46">
        <f>+B69+0.1</f>
        <v>8.1</v>
      </c>
      <c r="C70" s="76" t="s">
        <v>171</v>
      </c>
      <c r="D70" s="663">
        <v>3</v>
      </c>
      <c r="E70" s="662">
        <v>3</v>
      </c>
      <c r="F70" s="662">
        <v>3</v>
      </c>
      <c r="G70" s="662">
        <v>3</v>
      </c>
      <c r="H70" s="662">
        <v>3</v>
      </c>
    </row>
    <row r="71" spans="2:8">
      <c r="B71" s="46">
        <f>+B70+0.1</f>
        <v>8.1999999999999993</v>
      </c>
      <c r="C71" s="76" t="s">
        <v>172</v>
      </c>
      <c r="D71" s="663">
        <v>2</v>
      </c>
      <c r="E71" s="662">
        <v>1</v>
      </c>
      <c r="F71" s="662">
        <v>1</v>
      </c>
      <c r="G71" s="662">
        <v>1</v>
      </c>
      <c r="H71" s="662">
        <v>1</v>
      </c>
    </row>
    <row r="72" spans="2:8">
      <c r="B72" s="46">
        <f>+B71+0.1</f>
        <v>8.2999999999999989</v>
      </c>
      <c r="C72" s="76" t="s">
        <v>173</v>
      </c>
      <c r="D72" s="663">
        <v>0</v>
      </c>
      <c r="E72" s="662">
        <v>0</v>
      </c>
      <c r="F72" s="662">
        <v>0</v>
      </c>
      <c r="G72" s="662">
        <v>0</v>
      </c>
      <c r="H72" s="662">
        <v>0</v>
      </c>
    </row>
    <row r="73" spans="2:8">
      <c r="B73" s="46">
        <f>+B72+0.1</f>
        <v>8.3999999999999986</v>
      </c>
      <c r="C73" s="76" t="s">
        <v>174</v>
      </c>
      <c r="D73" s="663">
        <v>0</v>
      </c>
      <c r="E73" s="662">
        <v>0</v>
      </c>
      <c r="F73" s="662">
        <v>0</v>
      </c>
      <c r="G73" s="662">
        <v>0</v>
      </c>
      <c r="H73" s="662">
        <v>0</v>
      </c>
    </row>
    <row r="74" spans="2:8">
      <c r="B74" s="79"/>
      <c r="C74" s="80" t="s">
        <v>176</v>
      </c>
      <c r="D74" s="665">
        <v>112</v>
      </c>
      <c r="E74" s="665">
        <v>109</v>
      </c>
      <c r="F74" s="665">
        <v>109</v>
      </c>
      <c r="G74" s="665">
        <v>107</v>
      </c>
      <c r="H74" s="665">
        <v>107</v>
      </c>
    </row>
  </sheetData>
  <mergeCells count="6">
    <mergeCell ref="F9:H9"/>
    <mergeCell ref="B9:B10"/>
    <mergeCell ref="C9:C10"/>
    <mergeCell ref="B41:B42"/>
    <mergeCell ref="C41:C42"/>
    <mergeCell ref="F41:H41"/>
  </mergeCells>
  <pageMargins left="0.74803149606299213" right="0.74803149606299213" top="0.98425196850393704" bottom="0.98425196850393704" header="0.51181102362204722" footer="0.51181102362204722"/>
  <pageSetup paperSize="9" scale="73" fitToHeight="2" orientation="landscape" r:id="rId1"/>
  <headerFooter alignWithMargins="0"/>
  <rowBreaks count="1" manualBreakCount="1">
    <brk id="38" min="1" max="8" man="1"/>
  </rowBreaks>
</worksheet>
</file>

<file path=xl/worksheets/sheet6.xml><?xml version="1.0" encoding="utf-8"?>
<worksheet xmlns="http://schemas.openxmlformats.org/spreadsheetml/2006/main" xmlns:r="http://schemas.openxmlformats.org/officeDocument/2006/relationships">
  <sheetPr>
    <pageSetUpPr fitToPage="1"/>
  </sheetPr>
  <dimension ref="B2:L40"/>
  <sheetViews>
    <sheetView showGridLines="0" view="pageBreakPreview" topLeftCell="A30" zoomScale="90" zoomScaleNormal="80" zoomScaleSheetLayoutView="90" workbookViewId="0">
      <selection activeCell="F32" sqref="F32"/>
    </sheetView>
  </sheetViews>
  <sheetFormatPr defaultColWidth="9.28515625" defaultRowHeight="15"/>
  <cols>
    <col min="1" max="1" width="6.7109375" style="17" customWidth="1"/>
    <col min="2" max="2" width="7" style="17" customWidth="1"/>
    <col min="3" max="3" width="41.28515625" style="17" customWidth="1"/>
    <col min="4" max="7" width="15.7109375" style="17" customWidth="1"/>
    <col min="8" max="8" width="14.7109375" style="17" customWidth="1"/>
    <col min="9" max="9" width="9.28515625" style="17"/>
    <col min="10" max="10" width="18.28515625" style="17" customWidth="1"/>
    <col min="11" max="11" width="15.140625" style="17" customWidth="1"/>
    <col min="12" max="12" width="15.42578125" style="17" customWidth="1"/>
    <col min="13" max="16384" width="9.28515625" style="17"/>
  </cols>
  <sheetData>
    <row r="2" spans="2:10">
      <c r="B2" s="23"/>
      <c r="C2" s="153"/>
      <c r="D2" s="81" t="s">
        <v>0</v>
      </c>
      <c r="E2" s="153"/>
      <c r="F2" s="153"/>
      <c r="G2" s="153"/>
      <c r="H2" s="153"/>
    </row>
    <row r="3" spans="2:10" s="19" customFormat="1">
      <c r="B3" s="71"/>
      <c r="C3" s="153"/>
      <c r="D3" s="88" t="s">
        <v>1</v>
      </c>
      <c r="E3" s="153"/>
      <c r="F3" s="153"/>
      <c r="G3" s="153"/>
      <c r="H3" s="153"/>
    </row>
    <row r="4" spans="2:10" s="19" customFormat="1">
      <c r="B4" s="71"/>
      <c r="C4" s="153"/>
      <c r="D4" s="81" t="s">
        <v>177</v>
      </c>
      <c r="E4" s="153"/>
      <c r="F4" s="153"/>
      <c r="G4" s="153"/>
      <c r="H4" s="153"/>
    </row>
    <row r="6" spans="2:10">
      <c r="E6" s="154"/>
      <c r="F6" s="154"/>
      <c r="G6" s="154"/>
      <c r="H6" s="62" t="s">
        <v>1198</v>
      </c>
    </row>
    <row r="7" spans="2:10" ht="12.75" customHeight="1">
      <c r="B7" s="983" t="s">
        <v>133</v>
      </c>
      <c r="C7" s="983" t="s">
        <v>57</v>
      </c>
      <c r="D7" s="206" t="s">
        <v>58</v>
      </c>
      <c r="E7" s="206" t="s">
        <v>59</v>
      </c>
      <c r="F7" s="954" t="s">
        <v>60</v>
      </c>
      <c r="G7" s="954"/>
      <c r="H7" s="954"/>
    </row>
    <row r="8" spans="2:10" ht="28.5">
      <c r="B8" s="984"/>
      <c r="C8" s="984"/>
      <c r="D8" s="198" t="s">
        <v>64</v>
      </c>
      <c r="E8" s="198" t="s">
        <v>64</v>
      </c>
      <c r="F8" s="198" t="s">
        <v>134</v>
      </c>
      <c r="G8" s="198" t="s">
        <v>67</v>
      </c>
      <c r="H8" s="198" t="s">
        <v>68</v>
      </c>
    </row>
    <row r="9" spans="2:10">
      <c r="B9" s="24">
        <v>1</v>
      </c>
      <c r="C9" s="31" t="s">
        <v>178</v>
      </c>
      <c r="D9" s="375">
        <f>('TB22-23'!E496+'TB22-23'!E497)/10^5</f>
        <v>2.1309399999999998</v>
      </c>
      <c r="E9" s="388">
        <f>('TB23-24'!E496+'TB23-24'!E497)/10^5</f>
        <v>3.0983499999999999</v>
      </c>
      <c r="F9" s="388">
        <f>('TB24-25_sept24'!E480+'TB24-25_sept24'!E481)/10^5</f>
        <v>1.0878099999999999</v>
      </c>
      <c r="G9" s="388"/>
      <c r="H9" s="388"/>
    </row>
    <row r="10" spans="2:10">
      <c r="B10" s="24">
        <v>2</v>
      </c>
      <c r="C10" s="27" t="s">
        <v>179</v>
      </c>
      <c r="D10" s="375">
        <f>('TB22-23'!E498+'TB22-23'!E499)/10^5</f>
        <v>10.689870000000001</v>
      </c>
      <c r="E10" s="388">
        <f>('TB23-24'!E498+'TB23-24'!E499)/10^5</f>
        <v>9.2491699999999994</v>
      </c>
      <c r="F10" s="388">
        <f>('TB24-25_sept24'!E482+'TB24-25_sept24'!E483)/10^5</f>
        <v>5.0158699999999996</v>
      </c>
      <c r="G10" s="388"/>
      <c r="H10" s="388"/>
    </row>
    <row r="11" spans="2:10">
      <c r="B11" s="24">
        <v>3</v>
      </c>
      <c r="C11" s="27" t="s">
        <v>180</v>
      </c>
      <c r="D11" s="375">
        <f>('TB22-23'!E500+'TB22-23'!E501)/10^5</f>
        <v>10.088419999999999</v>
      </c>
      <c r="E11" s="388">
        <f>('TB23-24'!E500+'TB23-24'!E501)/10^5</f>
        <v>9.2570139999999999</v>
      </c>
      <c r="F11" s="388">
        <f>('TB24-25_sept24'!E484+'TB24-25_sept24'!E485)/10^5</f>
        <v>4.2275999999999998</v>
      </c>
      <c r="G11" s="388"/>
      <c r="H11" s="388"/>
    </row>
    <row r="12" spans="2:10">
      <c r="B12" s="24">
        <v>4</v>
      </c>
      <c r="C12" s="27" t="s">
        <v>181</v>
      </c>
      <c r="D12" s="375">
        <f>('TB22-23'!E506+'TB22-23'!E507+'TB22-23'!E508+'TB22-23'!E509)/10^5</f>
        <v>33.546123799999997</v>
      </c>
      <c r="E12" s="388">
        <f>('TB23-24'!E506+'TB23-24'!E507+'TB23-24'!E508+'TB23-24'!E509)/10^5</f>
        <v>10.5572134</v>
      </c>
      <c r="F12" s="388">
        <f>('TB24-25_sept24'!E490+'TB24-25_sept24'!E491)/10^5</f>
        <v>0.41180319999999998</v>
      </c>
      <c r="G12" s="388"/>
      <c r="H12" s="388"/>
    </row>
    <row r="13" spans="2:10">
      <c r="B13" s="24">
        <v>5</v>
      </c>
      <c r="C13" s="27" t="s">
        <v>182</v>
      </c>
      <c r="D13" s="375">
        <f>('TB22-23'!E510)/10^5</f>
        <v>67.627999599999995</v>
      </c>
      <c r="E13" s="388">
        <f>('TB23-24'!E510)/10^5</f>
        <v>64.840999999999994</v>
      </c>
      <c r="F13" s="388">
        <f>('TB24-25_sept24'!E492)/10^5</f>
        <v>12.744</v>
      </c>
      <c r="G13" s="388"/>
      <c r="H13" s="388"/>
    </row>
    <row r="14" spans="2:10">
      <c r="B14" s="24">
        <v>6</v>
      </c>
      <c r="C14" s="27" t="s">
        <v>183</v>
      </c>
      <c r="D14" s="375">
        <f>('TB22-23'!E492+'TB22-23'!E493)/10^5</f>
        <v>8.10154</v>
      </c>
      <c r="E14" s="388">
        <f>('TB23-24'!E492+'TB23-24'!E493)/10^5</f>
        <v>17.510719999999999</v>
      </c>
      <c r="F14" s="388">
        <f>('TB24-25_sept24'!E477+'TB24-25_sept24'!E478)/10^5</f>
        <v>8.0854300000000006</v>
      </c>
      <c r="G14" s="388"/>
      <c r="H14" s="388"/>
    </row>
    <row r="15" spans="2:10">
      <c r="B15" s="24">
        <v>7</v>
      </c>
      <c r="C15" s="27" t="s">
        <v>184</v>
      </c>
      <c r="D15" s="375">
        <f>('TB22-23'!E516+'TB22-23'!E517)/10^5</f>
        <v>340.22124000000002</v>
      </c>
      <c r="E15" s="388">
        <f>('TB23-24'!E516+'TB23-24'!E517)/10^5</f>
        <v>379.93079999999998</v>
      </c>
      <c r="F15" s="388">
        <f>('TB24-25_sept24'!E497+'TB24-25_sept24'!E498)/10^5</f>
        <v>180.63759999999999</v>
      </c>
      <c r="G15" s="388"/>
      <c r="H15" s="388"/>
    </row>
    <row r="16" spans="2:10">
      <c r="B16" s="24">
        <v>8</v>
      </c>
      <c r="C16" s="34" t="s">
        <v>185</v>
      </c>
      <c r="D16" s="375">
        <f>('TB22-23'!E518+'TB22-23'!E519)/10^5</f>
        <v>14.508509999999999</v>
      </c>
      <c r="E16" s="388">
        <f>('TB23-24'!E518+'TB23-24'!E519)/10^5</f>
        <v>8.2057699999999993</v>
      </c>
      <c r="F16" s="388">
        <f>('TB24-25_sept24'!E499+'TB24-25_sept24'!E500)/10^5</f>
        <v>4.0129700000000001</v>
      </c>
      <c r="G16" s="388"/>
      <c r="H16" s="388"/>
      <c r="J16" s="17" t="s">
        <v>1072</v>
      </c>
    </row>
    <row r="17" spans="2:12">
      <c r="B17" s="24">
        <v>9</v>
      </c>
      <c r="C17" s="27" t="s">
        <v>186</v>
      </c>
      <c r="D17" s="375">
        <f>('TB22-23'!E525+'TB22-23'!E526)/10^5</f>
        <v>119.94166</v>
      </c>
      <c r="E17" s="388">
        <f>('TB23-24'!E525+'TB23-24'!E526)/10^5</f>
        <v>132.70252590000001</v>
      </c>
      <c r="F17" s="388">
        <f>('TB24-25_sept24'!E506+'TB24-25_sept24'!E507)/10^5</f>
        <v>42.852986600000001</v>
      </c>
      <c r="G17" s="388"/>
      <c r="H17" s="388"/>
      <c r="J17" s="17" t="s">
        <v>1069</v>
      </c>
      <c r="K17" s="17" t="s">
        <v>1070</v>
      </c>
      <c r="L17" s="17" t="s">
        <v>1071</v>
      </c>
    </row>
    <row r="18" spans="2:12">
      <c r="B18" s="24">
        <v>10</v>
      </c>
      <c r="C18" s="27" t="s">
        <v>187</v>
      </c>
      <c r="D18" s="395">
        <f>('TB22-23'!E512-J18)/10^5</f>
        <v>5.0315300000000001</v>
      </c>
      <c r="E18" s="370">
        <f>('TB23-24'!E512-K18)/10^5</f>
        <v>0.92349000000000003</v>
      </c>
      <c r="F18" s="388">
        <f>('TB24-25_sept24'!E493-L18)/10^5</f>
        <v>5.0000000000000001E-3</v>
      </c>
      <c r="G18" s="388"/>
      <c r="H18" s="388"/>
      <c r="J18" s="408">
        <v>82915065</v>
      </c>
      <c r="K18" s="391">
        <v>112932231</v>
      </c>
      <c r="L18" s="408">
        <v>18019229</v>
      </c>
    </row>
    <row r="19" spans="2:12">
      <c r="B19" s="24">
        <v>11</v>
      </c>
      <c r="C19" s="27" t="s">
        <v>188</v>
      </c>
      <c r="D19" s="375"/>
      <c r="E19" s="388"/>
      <c r="F19" s="388"/>
      <c r="G19" s="388"/>
      <c r="H19" s="388"/>
    </row>
    <row r="20" spans="2:12">
      <c r="B20" s="24">
        <v>12</v>
      </c>
      <c r="C20" s="27" t="s">
        <v>189</v>
      </c>
      <c r="D20" s="375">
        <f>('TB22-23'!E502+'TB22-23'!E503)/10^5</f>
        <v>190.04091819999999</v>
      </c>
      <c r="E20" s="388">
        <f>('TB23-24'!E502+'TB23-24'!E503)/10^5</f>
        <v>199.02719160000001</v>
      </c>
      <c r="F20" s="388">
        <f>('TB24-25_sept24'!E486+'TB24-25_sept24'!E487)/10^5</f>
        <v>135.80070839999999</v>
      </c>
      <c r="G20" s="388"/>
      <c r="H20" s="388"/>
    </row>
    <row r="21" spans="2:12">
      <c r="B21" s="24">
        <v>13</v>
      </c>
      <c r="C21" s="27" t="s">
        <v>190</v>
      </c>
      <c r="D21" s="375">
        <f>('TB22-23'!E513+'TB22-23'!E514)/10^5</f>
        <v>2.9284929000000002</v>
      </c>
      <c r="E21" s="388">
        <f>('TB23-24'!E513+'TB23-24'!E514)/10^5</f>
        <v>2.7070799999999999</v>
      </c>
      <c r="F21" s="388">
        <f>('TB24-25_sept24'!E494+'TB24-25_sept24'!E495)/10^5</f>
        <v>2.0949416999999997</v>
      </c>
      <c r="G21" s="388"/>
      <c r="H21" s="388"/>
    </row>
    <row r="22" spans="2:12">
      <c r="B22" s="24">
        <v>14</v>
      </c>
      <c r="C22" s="27" t="s">
        <v>191</v>
      </c>
      <c r="D22" s="375">
        <f>('TB22-23'!E515)/10^5</f>
        <v>0</v>
      </c>
      <c r="E22" s="388">
        <f>('TB23-24'!E515)/10^5</f>
        <v>0</v>
      </c>
      <c r="F22" s="388">
        <f>('TB24-25_sept24'!E496)/10^5</f>
        <v>0</v>
      </c>
      <c r="G22" s="388"/>
      <c r="H22" s="388"/>
    </row>
    <row r="23" spans="2:12">
      <c r="B23" s="24">
        <v>15</v>
      </c>
      <c r="C23" s="27" t="s">
        <v>192</v>
      </c>
      <c r="D23" s="375">
        <f>('TB22-23'!E533+'TB22-23'!E534)/10^5</f>
        <v>50.310710199999995</v>
      </c>
      <c r="E23" s="388">
        <f>('TB23-24'!E533+'TB23-24'!E534)/10^5</f>
        <v>-22.638515399999999</v>
      </c>
      <c r="F23" s="388">
        <f>('TB24-25_sept24'!E513+'TB24-25_sept24'!E514)/10^5</f>
        <v>4.8403169999999998</v>
      </c>
      <c r="G23" s="388"/>
      <c r="H23" s="388"/>
    </row>
    <row r="24" spans="2:12">
      <c r="B24" s="24">
        <v>16</v>
      </c>
      <c r="C24" s="31" t="s">
        <v>193</v>
      </c>
      <c r="D24" s="375"/>
      <c r="E24" s="388"/>
      <c r="F24" s="388"/>
      <c r="G24" s="388"/>
      <c r="H24" s="388"/>
    </row>
    <row r="25" spans="2:12">
      <c r="B25" s="24">
        <v>17</v>
      </c>
      <c r="C25" s="31" t="s">
        <v>194</v>
      </c>
      <c r="D25" s="375"/>
      <c r="E25" s="388"/>
      <c r="F25" s="388"/>
      <c r="G25" s="388"/>
      <c r="H25" s="388"/>
    </row>
    <row r="26" spans="2:12">
      <c r="B26" s="24">
        <v>18</v>
      </c>
      <c r="C26" s="27" t="s">
        <v>195</v>
      </c>
      <c r="D26" s="375">
        <f>('TB22-23'!E530)/10^5</f>
        <v>1.5989</v>
      </c>
      <c r="E26" s="388">
        <f>('TB23-24'!E530)/10^5</f>
        <v>6.3203899999999997</v>
      </c>
      <c r="F26" s="388">
        <f>('TB24-25_sept24'!E510)/10^5</f>
        <v>2.02359</v>
      </c>
      <c r="G26" s="388"/>
      <c r="H26" s="388"/>
    </row>
    <row r="27" spans="2:12">
      <c r="B27" s="24">
        <v>19</v>
      </c>
      <c r="C27" s="27" t="s">
        <v>196</v>
      </c>
      <c r="D27" s="375">
        <f>('TB22-23'!E531+'TB22-23'!E532)/10^5</f>
        <v>28.9490266</v>
      </c>
      <c r="E27" s="388">
        <f>('TB23-24'!E531+'TB23-24'!E532)/10^5</f>
        <v>9.6620924000000006</v>
      </c>
      <c r="F27" s="388">
        <f>('TB24-25_sept24'!E511+'TB24-25_sept24'!E512)/10^5</f>
        <v>4.5555565000000007</v>
      </c>
      <c r="G27" s="388"/>
      <c r="H27" s="388"/>
    </row>
    <row r="28" spans="2:12">
      <c r="B28" s="24">
        <v>20</v>
      </c>
      <c r="C28" s="27" t="s">
        <v>197</v>
      </c>
      <c r="D28" s="375"/>
      <c r="E28" s="388"/>
      <c r="F28" s="388"/>
      <c r="G28" s="388"/>
      <c r="H28" s="388"/>
    </row>
    <row r="29" spans="2:12">
      <c r="B29" s="24">
        <v>21</v>
      </c>
      <c r="C29" s="27" t="s">
        <v>198</v>
      </c>
      <c r="D29" s="375">
        <f>('TB22-23'!E504+'TB22-23'!E505)/10^5</f>
        <v>170.44076379999998</v>
      </c>
      <c r="E29" s="388">
        <f>('TB23-24'!E504+'TB23-24'!E505)/10^5</f>
        <v>197.78997749999999</v>
      </c>
      <c r="F29" s="388">
        <f>('TB24-25_sept24'!E488+'TB24-25_sept24'!E489)/10^5</f>
        <v>76.391348999999991</v>
      </c>
      <c r="G29" s="388"/>
      <c r="H29" s="388"/>
    </row>
    <row r="30" spans="2:12">
      <c r="B30" s="24">
        <v>22</v>
      </c>
      <c r="C30" s="27" t="s">
        <v>199</v>
      </c>
      <c r="D30" s="375">
        <f>('TB22-23'!E511)/10^5</f>
        <v>9.9999999999999995E-8</v>
      </c>
      <c r="E30" s="388">
        <f>('TB23-24'!E511)/10^5</f>
        <v>0</v>
      </c>
      <c r="F30" s="388"/>
      <c r="G30" s="388"/>
      <c r="H30" s="388"/>
    </row>
    <row r="31" spans="2:12">
      <c r="B31" s="24">
        <v>23</v>
      </c>
      <c r="C31" s="27" t="s">
        <v>200</v>
      </c>
      <c r="D31" s="375"/>
      <c r="E31" s="388"/>
      <c r="F31" s="388"/>
      <c r="G31" s="388"/>
      <c r="H31" s="388"/>
    </row>
    <row r="32" spans="2:12">
      <c r="B32" s="24">
        <v>24</v>
      </c>
      <c r="C32" s="27" t="s">
        <v>201</v>
      </c>
      <c r="D32" s="375">
        <f>('TB22-23'!E482+'TB22-23'!E483)/10^5</f>
        <v>10.199920000000001</v>
      </c>
      <c r="E32" s="388">
        <f>('TB23-24'!E482+'TB23-24'!E483)/10^5</f>
        <v>12.49685</v>
      </c>
      <c r="F32" s="388">
        <f>('TB24-25_sept24'!E469+'TB24-25_sept24'!E470)/10^5</f>
        <v>7.5330599999999999</v>
      </c>
      <c r="G32" s="388"/>
      <c r="H32" s="388"/>
    </row>
    <row r="33" spans="2:8">
      <c r="B33" s="24">
        <v>25</v>
      </c>
      <c r="C33" s="27" t="s">
        <v>202</v>
      </c>
      <c r="D33" s="375">
        <f>('TB22-23'!E556+'TB22-23'!E557)/10^5</f>
        <v>0.381554</v>
      </c>
      <c r="E33" s="388">
        <f>('TB23-24'!E556+'TB23-24'!E557)/10^5</f>
        <v>2.56457E-2</v>
      </c>
      <c r="F33" s="388">
        <f>('TB24-25_sept24'!E536+'TB24-25_sept24'!E537)/10^5</f>
        <v>1.1847100000000001E-2</v>
      </c>
      <c r="G33" s="388"/>
      <c r="H33" s="388"/>
    </row>
    <row r="34" spans="2:8">
      <c r="B34" s="24">
        <v>26</v>
      </c>
      <c r="C34" s="27" t="s">
        <v>203</v>
      </c>
      <c r="D34" s="375">
        <f>('TB22-23'!E494+'TB22-23'!E495+'TB22-23'!E520+'TB22-23'!E527+'TB22-23'!E528+'TB22-23'!E529+'TB22-23'!E535)/10^5</f>
        <v>3.4997600000000004E-2</v>
      </c>
      <c r="E34" s="388">
        <f>('TB23-24'!E494+'TB23-24'!E495+'TB23-24'!E520+'TB23-24'!E527+'TB23-24'!E528+'TB23-24'!E529+'TB23-24'!E535)/10^5</f>
        <v>-19.597833999999999</v>
      </c>
      <c r="F34" s="388">
        <f>('TB24-25_sept24'!E479+'TB24-25_sept24'!E501+'TB24-25_sept24'!E508+'TB24-25_sept24'!E509+'TB24-25_sept24'!E515)/10^5</f>
        <v>-24.2090183</v>
      </c>
      <c r="G34" s="388"/>
      <c r="H34" s="388"/>
    </row>
    <row r="35" spans="2:8">
      <c r="B35" s="24">
        <v>27</v>
      </c>
      <c r="C35" s="27" t="s">
        <v>204</v>
      </c>
      <c r="D35" s="375">
        <f>('TB22-23'!E523+'TB22-23'!E524)/10^5</f>
        <v>51.624511200000001</v>
      </c>
      <c r="E35" s="388">
        <f>('TB23-24'!E523+'TB23-24'!E524)/10^5</f>
        <v>79.159677099999996</v>
      </c>
      <c r="F35" s="388">
        <f>('TB24-25_sept24'!E504+'TB24-25_sept24'!E505)/10^5</f>
        <v>18.984710100000001</v>
      </c>
      <c r="G35" s="388"/>
      <c r="H35" s="388"/>
    </row>
    <row r="36" spans="2:8">
      <c r="B36" s="24">
        <v>28</v>
      </c>
      <c r="C36" s="27" t="s">
        <v>1068</v>
      </c>
      <c r="D36" s="375">
        <f>('TB22-23'!E521+'TB22-23'!E522)/10^5</f>
        <v>4.9505999999999997</v>
      </c>
      <c r="E36" s="388">
        <f>('TB23-24'!E521+'TB23-24'!E522)/10^5</f>
        <v>4.9007899999999998</v>
      </c>
      <c r="F36" s="388">
        <f>('TB24-25_sept24'!E502+'TB24-25_sept24'!E503)/10^5</f>
        <v>2.1869200000000002</v>
      </c>
      <c r="G36" s="388"/>
      <c r="H36" s="388"/>
    </row>
    <row r="37" spans="2:8">
      <c r="B37" s="24">
        <v>29</v>
      </c>
      <c r="C37" s="28" t="s">
        <v>205</v>
      </c>
      <c r="D37" s="383">
        <f>SUM(D9:D36)</f>
        <v>1123.3482279999998</v>
      </c>
      <c r="E37" s="383">
        <f t="shared" ref="E37:F37" si="0">SUM(E9:E36)</f>
        <v>1106.1293982</v>
      </c>
      <c r="F37" s="383">
        <f t="shared" si="0"/>
        <v>489.29505129999995</v>
      </c>
      <c r="G37" s="388"/>
      <c r="H37" s="388"/>
    </row>
    <row r="38" spans="2:8">
      <c r="B38" s="24">
        <v>30</v>
      </c>
      <c r="C38" s="30" t="s">
        <v>159</v>
      </c>
      <c r="D38" s="388"/>
      <c r="E38" s="388"/>
      <c r="F38" s="388"/>
      <c r="G38" s="388"/>
      <c r="H38" s="388"/>
    </row>
    <row r="39" spans="2:8">
      <c r="B39" s="24">
        <v>31</v>
      </c>
      <c r="C39" s="29" t="s">
        <v>206</v>
      </c>
      <c r="D39" s="388">
        <f>D37-D38</f>
        <v>1123.3482279999998</v>
      </c>
      <c r="E39" s="388">
        <f t="shared" ref="E39:F39" si="1">E37-E38</f>
        <v>1106.1293982</v>
      </c>
      <c r="F39" s="388">
        <f t="shared" si="1"/>
        <v>489.29505129999995</v>
      </c>
      <c r="G39" s="388"/>
      <c r="H39" s="388"/>
    </row>
    <row r="40" spans="2:8">
      <c r="D40" s="386"/>
      <c r="E40" s="386"/>
      <c r="F40" s="386"/>
      <c r="G40" s="386"/>
      <c r="H40" s="386"/>
    </row>
  </sheetData>
  <mergeCells count="3">
    <mergeCell ref="B7:B8"/>
    <mergeCell ref="C7:C8"/>
    <mergeCell ref="F7:H7"/>
  </mergeCells>
  <pageMargins left="0.75" right="0.75" top="1" bottom="1" header="0.5" footer="0.5"/>
  <pageSetup paperSize="9" scale="78"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B2:H20"/>
  <sheetViews>
    <sheetView showGridLines="0" view="pageBreakPreview" zoomScale="60" zoomScaleNormal="80" workbookViewId="0">
      <selection activeCell="D9" sqref="D9:F20"/>
    </sheetView>
  </sheetViews>
  <sheetFormatPr defaultColWidth="9.28515625" defaultRowHeight="15"/>
  <cols>
    <col min="1" max="1" width="6.7109375" style="17" customWidth="1"/>
    <col min="2" max="2" width="8.7109375" style="57" customWidth="1"/>
    <col min="3" max="3" width="30.42578125" style="17" customWidth="1"/>
    <col min="4" max="4" width="15.7109375" style="17" customWidth="1"/>
    <col min="5" max="5" width="14.42578125" style="17" customWidth="1"/>
    <col min="6" max="6" width="13.42578125" style="17" customWidth="1"/>
    <col min="7" max="8" width="15.7109375" style="17" customWidth="1"/>
    <col min="9" max="16384" width="9.28515625" style="17"/>
  </cols>
  <sheetData>
    <row r="2" spans="2:8">
      <c r="B2" s="23"/>
      <c r="C2" s="153"/>
      <c r="D2" s="81" t="s">
        <v>0</v>
      </c>
      <c r="E2" s="153"/>
      <c r="F2" s="153"/>
      <c r="G2" s="153"/>
      <c r="H2" s="153"/>
    </row>
    <row r="3" spans="2:8" s="19" customFormat="1">
      <c r="B3" s="71"/>
      <c r="C3" s="153"/>
      <c r="D3" s="88" t="s">
        <v>1</v>
      </c>
      <c r="E3" s="153"/>
      <c r="F3" s="153"/>
      <c r="G3" s="153"/>
      <c r="H3" s="153"/>
    </row>
    <row r="4" spans="2:8" s="19" customFormat="1">
      <c r="B4" s="71"/>
      <c r="C4" s="153"/>
      <c r="D4" s="81" t="s">
        <v>207</v>
      </c>
      <c r="E4" s="153"/>
      <c r="F4" s="153"/>
      <c r="G4" s="153"/>
      <c r="H4" s="153"/>
    </row>
    <row r="6" spans="2:8">
      <c r="B6" s="17"/>
      <c r="E6" s="154"/>
      <c r="F6" s="154"/>
      <c r="G6" s="154"/>
      <c r="H6" s="62" t="s">
        <v>1198</v>
      </c>
    </row>
    <row r="7" spans="2:8">
      <c r="B7" s="983" t="s">
        <v>133</v>
      </c>
      <c r="C7" s="983" t="s">
        <v>57</v>
      </c>
      <c r="D7" s="206" t="s">
        <v>58</v>
      </c>
      <c r="E7" s="206" t="s">
        <v>59</v>
      </c>
      <c r="F7" s="954" t="s">
        <v>60</v>
      </c>
      <c r="G7" s="954"/>
      <c r="H7" s="954"/>
    </row>
    <row r="8" spans="2:8" ht="28.5">
      <c r="B8" s="984"/>
      <c r="C8" s="984"/>
      <c r="D8" s="198" t="s">
        <v>64</v>
      </c>
      <c r="E8" s="198" t="s">
        <v>64</v>
      </c>
      <c r="F8" s="198" t="s">
        <v>134</v>
      </c>
      <c r="G8" s="198" t="s">
        <v>67</v>
      </c>
      <c r="H8" s="198" t="s">
        <v>68</v>
      </c>
    </row>
    <row r="9" spans="2:8">
      <c r="B9" s="33">
        <v>1</v>
      </c>
      <c r="C9" s="27" t="s">
        <v>208</v>
      </c>
      <c r="D9" s="388">
        <f>('TB22-23'!E408+'TB22-23'!E409+'TB22-23'!E416)/10^5</f>
        <v>222.07513370000001</v>
      </c>
      <c r="E9" s="388">
        <f>('TB23-24'!E408+'TB23-24'!E409+'TB23-24'!E411+'TB23-24'!E416)/10^5</f>
        <v>278.22859440000002</v>
      </c>
      <c r="F9" s="388">
        <f>('TB24-25_sept24'!E398+'TB24-25_sept24'!E399+'TB24-25_sept24'!E400+'TB24-25_sept24'!E401)/10^5</f>
        <v>242.8194713</v>
      </c>
      <c r="G9" s="388"/>
      <c r="H9" s="388"/>
    </row>
    <row r="10" spans="2:8">
      <c r="B10" s="33">
        <f>B9+1</f>
        <v>2</v>
      </c>
      <c r="C10" s="27" t="s">
        <v>209</v>
      </c>
      <c r="D10" s="388"/>
      <c r="E10" s="388"/>
      <c r="F10" s="388"/>
      <c r="G10" s="388"/>
      <c r="H10" s="388"/>
    </row>
    <row r="11" spans="2:8">
      <c r="B11" s="33">
        <f t="shared" ref="B11:B20" si="0">B10+1</f>
        <v>3</v>
      </c>
      <c r="C11" s="27" t="s">
        <v>210</v>
      </c>
      <c r="D11" s="388"/>
      <c r="E11" s="388"/>
      <c r="F11" s="388"/>
      <c r="G11" s="388"/>
      <c r="H11" s="388"/>
    </row>
    <row r="12" spans="2:8">
      <c r="B12" s="33">
        <f t="shared" si="0"/>
        <v>4</v>
      </c>
      <c r="C12" s="27" t="s">
        <v>211</v>
      </c>
      <c r="D12" s="388"/>
      <c r="E12" s="388"/>
      <c r="F12" s="388"/>
      <c r="G12" s="388"/>
      <c r="H12" s="388"/>
    </row>
    <row r="13" spans="2:8">
      <c r="B13" s="33">
        <f t="shared" si="0"/>
        <v>5</v>
      </c>
      <c r="C13" s="27" t="s">
        <v>212</v>
      </c>
      <c r="D13" s="388"/>
      <c r="E13" s="388"/>
      <c r="F13" s="388"/>
      <c r="G13" s="388"/>
      <c r="H13" s="388"/>
    </row>
    <row r="14" spans="2:8">
      <c r="B14" s="33">
        <f t="shared" si="0"/>
        <v>6</v>
      </c>
      <c r="C14" s="27" t="s">
        <v>213</v>
      </c>
      <c r="D14" s="388">
        <f>'TB22-23'!E412/10^5</f>
        <v>4.0590000000000001E-2</v>
      </c>
      <c r="E14" s="388">
        <f>'TB23-24'!E412/10^5</f>
        <v>0.77298</v>
      </c>
      <c r="F14" s="388">
        <f>'TB24-25_sept24'!E402/10^5</f>
        <v>0.80794999999999995</v>
      </c>
      <c r="G14" s="388"/>
      <c r="H14" s="388"/>
    </row>
    <row r="15" spans="2:8">
      <c r="B15" s="33">
        <f t="shared" si="0"/>
        <v>7</v>
      </c>
      <c r="C15" s="27" t="s">
        <v>214</v>
      </c>
      <c r="D15" s="388">
        <f>'TB22-23'!E413/10^5</f>
        <v>7.3036632999999993</v>
      </c>
      <c r="E15" s="388">
        <f>'TB23-24'!E413/10^5</f>
        <v>0</v>
      </c>
      <c r="F15" s="388"/>
      <c r="G15" s="388"/>
      <c r="H15" s="388"/>
    </row>
    <row r="16" spans="2:8">
      <c r="B16" s="33">
        <f t="shared" si="0"/>
        <v>8</v>
      </c>
      <c r="C16" s="27" t="s">
        <v>215</v>
      </c>
      <c r="D16" s="388">
        <f>('TB22-23'!E414+'TB22-23'!E415)/10^5</f>
        <v>19.749680000000001</v>
      </c>
      <c r="E16" s="388">
        <f>('TB23-24'!E414+'TB23-24'!E415)/10^5</f>
        <v>30.419824899999998</v>
      </c>
      <c r="F16" s="388">
        <f>('TB24-25_sept24'!E403+'TB24-25_sept24'!E404)/10^5</f>
        <v>2.3161717999999998</v>
      </c>
      <c r="G16" s="388"/>
      <c r="H16" s="388"/>
    </row>
    <row r="17" spans="2:8">
      <c r="B17" s="33">
        <f t="shared" si="0"/>
        <v>9</v>
      </c>
      <c r="C17" s="27" t="s">
        <v>107</v>
      </c>
      <c r="D17" s="388"/>
      <c r="E17" s="388"/>
      <c r="F17" s="388"/>
      <c r="G17" s="388"/>
      <c r="H17" s="388"/>
    </row>
    <row r="18" spans="2:8">
      <c r="B18" s="44">
        <f t="shared" si="0"/>
        <v>10</v>
      </c>
      <c r="C18" s="155" t="s">
        <v>216</v>
      </c>
      <c r="D18" s="383">
        <f>SUM(D9:D17)</f>
        <v>249.16906700000004</v>
      </c>
      <c r="E18" s="383">
        <f t="shared" ref="E18:H18" si="1">SUM(E9:E17)</f>
        <v>309.42139930000002</v>
      </c>
      <c r="F18" s="383">
        <f t="shared" si="1"/>
        <v>245.94359310000002</v>
      </c>
      <c r="G18" s="383">
        <f t="shared" si="1"/>
        <v>0</v>
      </c>
      <c r="H18" s="383">
        <f t="shared" si="1"/>
        <v>0</v>
      </c>
    </row>
    <row r="19" spans="2:8">
      <c r="B19" s="33">
        <f t="shared" si="0"/>
        <v>11</v>
      </c>
      <c r="C19" s="11" t="s">
        <v>159</v>
      </c>
      <c r="D19" s="388"/>
      <c r="E19" s="388"/>
      <c r="F19" s="388"/>
      <c r="G19" s="388"/>
      <c r="H19" s="388"/>
    </row>
    <row r="20" spans="2:8">
      <c r="B20" s="44">
        <f t="shared" si="0"/>
        <v>12</v>
      </c>
      <c r="C20" s="29" t="s">
        <v>217</v>
      </c>
      <c r="D20" s="388">
        <f>D18-D19</f>
        <v>249.16906700000004</v>
      </c>
      <c r="E20" s="388">
        <f t="shared" ref="E20:H20" si="2">E18-E19</f>
        <v>309.42139930000002</v>
      </c>
      <c r="F20" s="388">
        <f t="shared" si="2"/>
        <v>245.94359310000002</v>
      </c>
      <c r="G20" s="388">
        <f t="shared" si="2"/>
        <v>0</v>
      </c>
      <c r="H20" s="388">
        <f t="shared" si="2"/>
        <v>0</v>
      </c>
    </row>
  </sheetData>
  <mergeCells count="3">
    <mergeCell ref="B7:B8"/>
    <mergeCell ref="C7:C8"/>
    <mergeCell ref="F7:H7"/>
  </mergeCells>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C1:S90"/>
  <sheetViews>
    <sheetView view="pageBreakPreview" topLeftCell="A25" zoomScale="60" zoomScaleNormal="73" workbookViewId="0">
      <selection activeCell="E46" sqref="E46:S49"/>
    </sheetView>
  </sheetViews>
  <sheetFormatPr defaultColWidth="8.85546875" defaultRowHeight="12.75"/>
  <cols>
    <col min="4" max="4" width="44.42578125" customWidth="1"/>
    <col min="5" max="5" width="13.7109375" customWidth="1"/>
    <col min="6" max="6" width="13.42578125" customWidth="1"/>
    <col min="7" max="7" width="16.28515625" customWidth="1"/>
    <col min="9" max="9" width="11.28515625" customWidth="1"/>
    <col min="10" max="10" width="18.28515625" customWidth="1"/>
    <col min="11" max="13" width="11.7109375" customWidth="1"/>
    <col min="14" max="14" width="15.7109375" customWidth="1"/>
    <col min="15" max="15" width="18.42578125" customWidth="1"/>
    <col min="16" max="16" width="10.28515625" bestFit="1" customWidth="1"/>
    <col min="17" max="17" width="10.28515625" customWidth="1"/>
    <col min="19" max="19" width="10.28515625" bestFit="1" customWidth="1"/>
  </cols>
  <sheetData>
    <row r="1" spans="3:16">
      <c r="C1" s="985" t="s">
        <v>218</v>
      </c>
      <c r="D1" s="986"/>
      <c r="E1" s="986"/>
      <c r="F1" s="986"/>
      <c r="G1" s="986"/>
      <c r="H1" s="986"/>
      <c r="I1" s="986"/>
      <c r="J1" s="986"/>
    </row>
    <row r="2" spans="3:16">
      <c r="C2" s="986"/>
      <c r="D2" s="986"/>
      <c r="E2" s="986"/>
      <c r="F2" s="986"/>
      <c r="G2" s="986"/>
      <c r="H2" s="986"/>
      <c r="I2" s="986"/>
      <c r="J2" s="986"/>
    </row>
    <row r="3" spans="3:16">
      <c r="C3" s="987" t="s">
        <v>219</v>
      </c>
      <c r="D3" s="987"/>
      <c r="E3" s="987"/>
      <c r="F3" s="987"/>
      <c r="G3" s="987"/>
      <c r="H3" s="987"/>
      <c r="I3" s="987"/>
      <c r="J3" s="987"/>
    </row>
    <row r="4" spans="3:16">
      <c r="C4" s="988"/>
      <c r="D4" s="988"/>
      <c r="E4" s="988"/>
      <c r="F4" s="988"/>
      <c r="G4" s="988"/>
      <c r="H4" s="988"/>
      <c r="I4" s="988"/>
      <c r="J4" s="988"/>
    </row>
    <row r="5" spans="3:16">
      <c r="C5" s="989" t="s">
        <v>220</v>
      </c>
      <c r="D5" s="989"/>
      <c r="E5" s="989"/>
      <c r="F5" s="989"/>
      <c r="G5" s="989"/>
      <c r="H5" s="989"/>
      <c r="I5" s="989"/>
      <c r="J5" s="989"/>
    </row>
    <row r="7" spans="3:16">
      <c r="C7" s="306" t="s">
        <v>221</v>
      </c>
      <c r="D7" s="306">
        <v>1</v>
      </c>
      <c r="E7" s="990" t="s">
        <v>222</v>
      </c>
      <c r="F7" s="991"/>
      <c r="G7" s="991"/>
      <c r="H7" s="991"/>
      <c r="I7" s="991"/>
      <c r="J7" s="992"/>
    </row>
    <row r="8" spans="3:16">
      <c r="C8" s="306"/>
      <c r="D8" s="306">
        <v>2</v>
      </c>
      <c r="E8" s="315" t="s">
        <v>223</v>
      </c>
      <c r="F8" s="316"/>
      <c r="G8" s="316"/>
      <c r="H8" s="316"/>
      <c r="I8" s="316"/>
      <c r="J8" s="317"/>
    </row>
    <row r="9" spans="3:16">
      <c r="C9" s="306"/>
      <c r="D9" s="306">
        <v>3</v>
      </c>
      <c r="E9" s="315" t="s">
        <v>224</v>
      </c>
      <c r="F9" s="316"/>
      <c r="G9" s="316"/>
      <c r="H9" s="316"/>
      <c r="I9" s="316"/>
      <c r="J9" s="317"/>
    </row>
    <row r="10" spans="3:16">
      <c r="C10" s="306"/>
      <c r="D10" s="306">
        <v>4</v>
      </c>
      <c r="E10" s="315" t="s">
        <v>225</v>
      </c>
      <c r="F10" s="316"/>
      <c r="G10" s="316"/>
      <c r="H10" s="316"/>
      <c r="I10" s="316"/>
      <c r="J10" s="317"/>
    </row>
    <row r="11" spans="3:16">
      <c r="E11" s="311"/>
      <c r="F11" s="311"/>
      <c r="G11" s="311"/>
      <c r="H11" s="311"/>
      <c r="I11" s="311"/>
      <c r="J11" s="311"/>
    </row>
    <row r="12" spans="3:16">
      <c r="E12" s="311"/>
      <c r="F12" s="311"/>
      <c r="G12" s="311"/>
      <c r="H12" s="311"/>
      <c r="I12" s="311"/>
      <c r="J12" s="311"/>
    </row>
    <row r="13" spans="3:16">
      <c r="C13" s="314" t="s">
        <v>226</v>
      </c>
      <c r="E13" s="311"/>
      <c r="F13" s="311"/>
      <c r="G13" s="311"/>
      <c r="H13" s="311"/>
      <c r="I13" s="311"/>
      <c r="J13" s="311"/>
    </row>
    <row r="14" spans="3:16" ht="17.45" customHeight="1">
      <c r="C14" s="312"/>
      <c r="D14" s="312"/>
      <c r="E14" s="1002" t="s">
        <v>227</v>
      </c>
      <c r="F14" s="1003"/>
      <c r="G14" s="1004"/>
      <c r="H14" s="1002" t="s">
        <v>228</v>
      </c>
      <c r="I14" s="1003"/>
      <c r="J14" s="1004"/>
      <c r="K14" s="1002" t="s">
        <v>229</v>
      </c>
      <c r="L14" s="1003"/>
      <c r="M14" s="1004"/>
      <c r="N14" s="1000"/>
      <c r="O14" s="998"/>
      <c r="P14" s="998"/>
    </row>
    <row r="15" spans="3:16" ht="22.35" customHeight="1">
      <c r="C15" s="305" t="s">
        <v>230</v>
      </c>
      <c r="D15" s="305" t="s">
        <v>231</v>
      </c>
      <c r="E15" s="993" t="s">
        <v>232</v>
      </c>
      <c r="F15" s="994"/>
      <c r="G15" s="995"/>
      <c r="H15" s="993" t="s">
        <v>232</v>
      </c>
      <c r="I15" s="994"/>
      <c r="J15" s="995"/>
      <c r="K15" s="993" t="s">
        <v>232</v>
      </c>
      <c r="L15" s="994"/>
      <c r="M15" s="995"/>
      <c r="N15" s="1001"/>
      <c r="O15" s="985"/>
      <c r="P15" s="985"/>
    </row>
    <row r="16" spans="3:16">
      <c r="C16" s="304"/>
      <c r="D16" s="304"/>
      <c r="E16" s="305" t="s">
        <v>233</v>
      </c>
      <c r="F16" s="305" t="s">
        <v>234</v>
      </c>
      <c r="G16" s="305" t="s">
        <v>235</v>
      </c>
      <c r="H16" s="305" t="s">
        <v>233</v>
      </c>
      <c r="I16" s="305" t="s">
        <v>234</v>
      </c>
      <c r="J16" s="305" t="s">
        <v>235</v>
      </c>
      <c r="K16" s="305" t="s">
        <v>233</v>
      </c>
      <c r="L16" s="305" t="s">
        <v>234</v>
      </c>
      <c r="M16" s="305" t="s">
        <v>235</v>
      </c>
      <c r="N16" s="310"/>
      <c r="O16" s="310"/>
      <c r="P16" s="310"/>
    </row>
    <row r="17" spans="3:19" ht="15.75" thickBot="1">
      <c r="C17" s="302">
        <v>1</v>
      </c>
      <c r="D17" s="302" t="s">
        <v>236</v>
      </c>
      <c r="E17" s="661">
        <v>202</v>
      </c>
      <c r="F17" s="661">
        <v>7</v>
      </c>
      <c r="G17" s="661">
        <v>209</v>
      </c>
      <c r="H17" s="661">
        <v>23</v>
      </c>
      <c r="I17" s="661">
        <v>3</v>
      </c>
      <c r="J17" s="661">
        <v>26</v>
      </c>
      <c r="K17" s="661">
        <v>96</v>
      </c>
      <c r="L17" s="661">
        <v>12</v>
      </c>
      <c r="M17" s="661">
        <v>108</v>
      </c>
    </row>
    <row r="18" spans="3:19" ht="15.75" thickBot="1">
      <c r="C18" s="302">
        <v>2</v>
      </c>
      <c r="D18" s="302" t="s">
        <v>237</v>
      </c>
      <c r="E18" s="661">
        <v>11</v>
      </c>
      <c r="F18" s="661">
        <v>0</v>
      </c>
      <c r="G18" s="661">
        <v>11</v>
      </c>
      <c r="H18" s="661">
        <v>6</v>
      </c>
      <c r="I18" s="661"/>
      <c r="J18" s="661">
        <v>6</v>
      </c>
      <c r="K18" s="661">
        <v>96</v>
      </c>
      <c r="L18" s="661">
        <v>12</v>
      </c>
      <c r="M18" s="661">
        <v>108</v>
      </c>
    </row>
    <row r="19" spans="3:19" ht="15.75" thickBot="1">
      <c r="C19" s="302">
        <v>3</v>
      </c>
      <c r="D19" s="302" t="s">
        <v>238</v>
      </c>
      <c r="E19" s="661">
        <v>6</v>
      </c>
      <c r="F19" s="661"/>
      <c r="G19" s="661">
        <v>6</v>
      </c>
      <c r="H19" s="661">
        <v>4</v>
      </c>
      <c r="I19" s="661"/>
      <c r="J19" s="661">
        <v>4</v>
      </c>
      <c r="K19" s="661">
        <v>96</v>
      </c>
      <c r="L19" s="661">
        <v>12</v>
      </c>
      <c r="M19" s="661">
        <v>108</v>
      </c>
    </row>
    <row r="20" spans="3:19" ht="15.75" thickBot="1">
      <c r="C20" s="302"/>
      <c r="D20" s="302" t="s">
        <v>239</v>
      </c>
      <c r="E20" s="661">
        <v>219</v>
      </c>
      <c r="F20" s="661">
        <v>7</v>
      </c>
      <c r="G20" s="661">
        <v>226</v>
      </c>
      <c r="H20" s="661">
        <v>33</v>
      </c>
      <c r="I20" s="661">
        <v>3</v>
      </c>
      <c r="J20" s="661">
        <v>36</v>
      </c>
      <c r="K20" s="661">
        <v>288</v>
      </c>
      <c r="L20" s="661">
        <v>36</v>
      </c>
      <c r="M20" s="661">
        <v>324</v>
      </c>
    </row>
    <row r="21" spans="3:19">
      <c r="C21" s="301"/>
      <c r="D21" s="301"/>
    </row>
    <row r="22" spans="3:19">
      <c r="D22" s="301" t="s">
        <v>240</v>
      </c>
    </row>
    <row r="23" spans="3:19">
      <c r="C23" s="301"/>
      <c r="D23" s="301"/>
      <c r="E23" s="996" t="s">
        <v>70</v>
      </c>
      <c r="F23" s="996"/>
      <c r="G23" s="996"/>
      <c r="H23" s="996" t="s">
        <v>71</v>
      </c>
      <c r="I23" s="996"/>
      <c r="J23" s="996"/>
      <c r="K23" s="996" t="s">
        <v>72</v>
      </c>
      <c r="L23" s="996"/>
      <c r="M23" s="996"/>
      <c r="N23" s="996" t="s">
        <v>73</v>
      </c>
      <c r="O23" s="996"/>
      <c r="P23" s="996"/>
      <c r="Q23" s="996" t="s">
        <v>74</v>
      </c>
      <c r="R23" s="996"/>
      <c r="S23" s="996"/>
    </row>
    <row r="24" spans="3:19">
      <c r="C24" s="305" t="s">
        <v>230</v>
      </c>
      <c r="D24" s="305" t="s">
        <v>231</v>
      </c>
      <c r="E24" s="997" t="s">
        <v>232</v>
      </c>
      <c r="F24" s="997"/>
      <c r="G24" s="997"/>
      <c r="H24" s="997" t="s">
        <v>232</v>
      </c>
      <c r="I24" s="997"/>
      <c r="J24" s="997"/>
      <c r="K24" s="997" t="s">
        <v>232</v>
      </c>
      <c r="L24" s="997"/>
      <c r="M24" s="997"/>
      <c r="N24" s="997" t="s">
        <v>232</v>
      </c>
      <c r="O24" s="997"/>
      <c r="P24" s="997"/>
      <c r="Q24" s="997" t="s">
        <v>232</v>
      </c>
      <c r="R24" s="997"/>
      <c r="S24" s="997"/>
    </row>
    <row r="25" spans="3:19">
      <c r="C25" s="304"/>
      <c r="D25" s="304"/>
      <c r="E25" s="305" t="s">
        <v>233</v>
      </c>
      <c r="F25" s="305" t="s">
        <v>234</v>
      </c>
      <c r="G25" s="305" t="s">
        <v>235</v>
      </c>
      <c r="H25" s="305" t="s">
        <v>233</v>
      </c>
      <c r="I25" s="305" t="s">
        <v>234</v>
      </c>
      <c r="J25" s="305" t="s">
        <v>235</v>
      </c>
      <c r="K25" s="305" t="s">
        <v>233</v>
      </c>
      <c r="L25" s="305" t="s">
        <v>234</v>
      </c>
      <c r="M25" s="305" t="s">
        <v>235</v>
      </c>
      <c r="N25" s="305" t="s">
        <v>233</v>
      </c>
      <c r="O25" s="305" t="s">
        <v>234</v>
      </c>
      <c r="P25" s="305" t="s">
        <v>235</v>
      </c>
      <c r="Q25" s="305" t="s">
        <v>233</v>
      </c>
      <c r="R25" s="305" t="s">
        <v>234</v>
      </c>
      <c r="S25" s="305" t="s">
        <v>235</v>
      </c>
    </row>
    <row r="26" spans="3:19" ht="15.75" thickBot="1">
      <c r="C26" s="302">
        <v>1</v>
      </c>
      <c r="D26" s="302" t="s">
        <v>236</v>
      </c>
      <c r="E26" s="661">
        <v>96</v>
      </c>
      <c r="F26" s="661">
        <v>12</v>
      </c>
      <c r="G26" s="661">
        <v>108</v>
      </c>
      <c r="H26" s="661">
        <v>96</v>
      </c>
      <c r="I26" s="661">
        <v>12</v>
      </c>
      <c r="J26" s="661">
        <v>108</v>
      </c>
      <c r="K26" s="661">
        <v>96</v>
      </c>
      <c r="L26" s="661">
        <v>12</v>
      </c>
      <c r="M26" s="661">
        <v>108</v>
      </c>
      <c r="N26" s="661">
        <v>96</v>
      </c>
      <c r="O26" s="661">
        <v>12</v>
      </c>
      <c r="P26" s="661">
        <v>108</v>
      </c>
      <c r="Q26" s="661">
        <v>96</v>
      </c>
      <c r="R26" s="661">
        <v>12</v>
      </c>
      <c r="S26" s="661">
        <v>108</v>
      </c>
    </row>
    <row r="27" spans="3:19" ht="15.75" thickBot="1">
      <c r="C27" s="302">
        <v>2</v>
      </c>
      <c r="D27" s="302" t="s">
        <v>237</v>
      </c>
      <c r="E27" s="661">
        <v>96</v>
      </c>
      <c r="F27" s="661">
        <v>12</v>
      </c>
      <c r="G27" s="661">
        <v>108</v>
      </c>
      <c r="H27" s="661">
        <v>96</v>
      </c>
      <c r="I27" s="661">
        <v>12</v>
      </c>
      <c r="J27" s="661">
        <v>108</v>
      </c>
      <c r="K27" s="661">
        <v>96</v>
      </c>
      <c r="L27" s="661">
        <v>12</v>
      </c>
      <c r="M27" s="661">
        <v>108</v>
      </c>
      <c r="N27" s="661">
        <v>96</v>
      </c>
      <c r="O27" s="661">
        <v>12</v>
      </c>
      <c r="P27" s="661">
        <v>108</v>
      </c>
      <c r="Q27" s="661">
        <v>96</v>
      </c>
      <c r="R27" s="661">
        <v>12</v>
      </c>
      <c r="S27" s="661">
        <v>108</v>
      </c>
    </row>
    <row r="28" spans="3:19" ht="15.75" thickBot="1">
      <c r="C28" s="302">
        <v>3</v>
      </c>
      <c r="D28" s="302" t="s">
        <v>238</v>
      </c>
      <c r="E28" s="661">
        <v>96</v>
      </c>
      <c r="F28" s="661">
        <v>12</v>
      </c>
      <c r="G28" s="661">
        <v>108</v>
      </c>
      <c r="H28" s="661">
        <v>96</v>
      </c>
      <c r="I28" s="661">
        <v>12</v>
      </c>
      <c r="J28" s="661">
        <v>108</v>
      </c>
      <c r="K28" s="661">
        <v>96</v>
      </c>
      <c r="L28" s="661">
        <v>12</v>
      </c>
      <c r="M28" s="661">
        <v>108</v>
      </c>
      <c r="N28" s="661">
        <v>96</v>
      </c>
      <c r="O28" s="661">
        <v>12</v>
      </c>
      <c r="P28" s="661">
        <v>108</v>
      </c>
      <c r="Q28" s="661">
        <v>96</v>
      </c>
      <c r="R28" s="661">
        <v>12</v>
      </c>
      <c r="S28" s="661">
        <v>108</v>
      </c>
    </row>
    <row r="29" spans="3:19" ht="15.75" thickBot="1">
      <c r="C29" s="302"/>
      <c r="D29" s="302" t="s">
        <v>239</v>
      </c>
      <c r="E29" s="661">
        <v>288</v>
      </c>
      <c r="F29" s="661">
        <v>36</v>
      </c>
      <c r="G29" s="661">
        <v>324</v>
      </c>
      <c r="H29" s="661">
        <v>288</v>
      </c>
      <c r="I29" s="661">
        <v>36</v>
      </c>
      <c r="J29" s="661">
        <v>324</v>
      </c>
      <c r="K29" s="661">
        <v>288</v>
      </c>
      <c r="L29" s="661">
        <v>36</v>
      </c>
      <c r="M29" s="661">
        <v>324</v>
      </c>
      <c r="N29" s="661">
        <v>288</v>
      </c>
      <c r="O29" s="661">
        <v>36</v>
      </c>
      <c r="P29" s="661">
        <v>324</v>
      </c>
      <c r="Q29" s="661">
        <v>288</v>
      </c>
      <c r="R29" s="661">
        <v>36</v>
      </c>
      <c r="S29" s="661">
        <v>324</v>
      </c>
    </row>
    <row r="30" spans="3:19">
      <c r="C30" s="301"/>
      <c r="D30" s="301"/>
    </row>
    <row r="31" spans="3:19">
      <c r="C31" s="301"/>
      <c r="D31" s="301"/>
    </row>
    <row r="32" spans="3:19">
      <c r="C32" s="314" t="s">
        <v>241</v>
      </c>
      <c r="D32" s="301"/>
    </row>
    <row r="33" spans="3:19">
      <c r="C33" s="301"/>
      <c r="D33" s="301"/>
    </row>
    <row r="34" spans="3:19">
      <c r="C34" s="312"/>
      <c r="D34" s="312"/>
      <c r="E34" s="999" t="s">
        <v>227</v>
      </c>
      <c r="F34" s="999"/>
      <c r="G34" s="999"/>
      <c r="H34" s="999" t="s">
        <v>228</v>
      </c>
      <c r="I34" s="999"/>
      <c r="J34" s="999"/>
      <c r="K34" s="999" t="s">
        <v>229</v>
      </c>
      <c r="L34" s="999"/>
      <c r="M34" s="999"/>
      <c r="N34" s="998"/>
      <c r="O34" s="998"/>
      <c r="P34" s="998"/>
    </row>
    <row r="35" spans="3:19" ht="22.35" customHeight="1">
      <c r="C35" s="305" t="s">
        <v>230</v>
      </c>
      <c r="D35" s="305" t="s">
        <v>231</v>
      </c>
      <c r="E35" s="997" t="s">
        <v>242</v>
      </c>
      <c r="F35" s="997"/>
      <c r="G35" s="997"/>
      <c r="H35" s="997" t="s">
        <v>242</v>
      </c>
      <c r="I35" s="997"/>
      <c r="J35" s="997"/>
      <c r="K35" s="997" t="s">
        <v>243</v>
      </c>
      <c r="L35" s="997"/>
      <c r="M35" s="997"/>
      <c r="N35" s="985"/>
      <c r="O35" s="985"/>
      <c r="P35" s="985"/>
    </row>
    <row r="36" spans="3:19">
      <c r="C36" s="304"/>
      <c r="D36" s="304"/>
      <c r="E36" s="305" t="s">
        <v>233</v>
      </c>
      <c r="F36" s="305" t="s">
        <v>234</v>
      </c>
      <c r="G36" s="305" t="s">
        <v>235</v>
      </c>
      <c r="H36" s="305" t="s">
        <v>233</v>
      </c>
      <c r="I36" s="305" t="s">
        <v>234</v>
      </c>
      <c r="J36" s="305" t="s">
        <v>235</v>
      </c>
      <c r="K36" s="305" t="s">
        <v>233</v>
      </c>
      <c r="L36" s="305" t="s">
        <v>234</v>
      </c>
      <c r="M36" s="305" t="s">
        <v>235</v>
      </c>
      <c r="N36" s="310"/>
      <c r="O36" s="310"/>
      <c r="P36" s="310"/>
    </row>
    <row r="37" spans="3:19" ht="15.75" thickBot="1">
      <c r="C37" s="302">
        <v>1</v>
      </c>
      <c r="D37" s="302" t="s">
        <v>236</v>
      </c>
      <c r="E37" s="661">
        <v>1346380</v>
      </c>
      <c r="F37" s="661">
        <v>0</v>
      </c>
      <c r="G37" s="661">
        <v>1346380</v>
      </c>
      <c r="H37" s="661">
        <v>377950</v>
      </c>
      <c r="I37" s="661">
        <v>0</v>
      </c>
      <c r="J37" s="661">
        <v>377950</v>
      </c>
      <c r="K37" s="661">
        <v>1124401</v>
      </c>
      <c r="L37" s="661">
        <v>198424</v>
      </c>
      <c r="M37" s="661">
        <v>1322825</v>
      </c>
    </row>
    <row r="38" spans="3:19" ht="15.75" thickBot="1">
      <c r="C38" s="302">
        <v>2</v>
      </c>
      <c r="D38" s="302" t="s">
        <v>237</v>
      </c>
      <c r="E38" s="661">
        <v>125788</v>
      </c>
      <c r="F38" s="661">
        <v>0</v>
      </c>
      <c r="G38" s="661">
        <v>125788</v>
      </c>
      <c r="H38" s="661">
        <v>0</v>
      </c>
      <c r="I38" s="661">
        <v>0</v>
      </c>
      <c r="J38" s="661">
        <v>0</v>
      </c>
      <c r="K38" s="661">
        <v>160629</v>
      </c>
      <c r="L38" s="661">
        <v>28346</v>
      </c>
      <c r="M38" s="661">
        <v>188975</v>
      </c>
    </row>
    <row r="39" spans="3:19" ht="15.75" thickBot="1">
      <c r="C39" s="302">
        <v>3</v>
      </c>
      <c r="D39" s="302" t="s">
        <v>238</v>
      </c>
      <c r="E39" s="661">
        <v>0</v>
      </c>
      <c r="F39" s="661">
        <v>0</v>
      </c>
      <c r="G39" s="661">
        <v>0</v>
      </c>
      <c r="H39" s="661">
        <v>0</v>
      </c>
      <c r="I39" s="661">
        <v>0</v>
      </c>
      <c r="J39" s="661">
        <v>0</v>
      </c>
      <c r="K39" s="661">
        <v>321258</v>
      </c>
      <c r="L39" s="661">
        <v>56693</v>
      </c>
      <c r="M39" s="661">
        <v>377951</v>
      </c>
    </row>
    <row r="40" spans="3:19" ht="15.75" thickBot="1">
      <c r="C40" s="302"/>
      <c r="D40" s="302" t="s">
        <v>235</v>
      </c>
      <c r="E40" s="661">
        <v>1472168</v>
      </c>
      <c r="F40" s="661">
        <v>0</v>
      </c>
      <c r="G40" s="661">
        <v>1472168</v>
      </c>
      <c r="H40" s="661">
        <v>377950</v>
      </c>
      <c r="I40" s="661">
        <v>0</v>
      </c>
      <c r="J40" s="661">
        <v>377950</v>
      </c>
      <c r="K40" s="661">
        <v>1606288</v>
      </c>
      <c r="L40" s="661">
        <v>283463</v>
      </c>
      <c r="M40" s="661">
        <v>1889751</v>
      </c>
    </row>
    <row r="41" spans="3:19">
      <c r="C41" s="301"/>
      <c r="D41" s="301"/>
    </row>
    <row r="42" spans="3:19">
      <c r="D42" s="301" t="s">
        <v>240</v>
      </c>
    </row>
    <row r="43" spans="3:19">
      <c r="C43" s="301"/>
      <c r="D43" s="301"/>
      <c r="E43" s="999" t="s">
        <v>70</v>
      </c>
      <c r="F43" s="999"/>
      <c r="G43" s="999"/>
      <c r="H43" s="999" t="s">
        <v>71</v>
      </c>
      <c r="I43" s="999"/>
      <c r="J43" s="999"/>
      <c r="K43" s="999" t="s">
        <v>72</v>
      </c>
      <c r="L43" s="999"/>
      <c r="M43" s="999"/>
      <c r="N43" s="999" t="s">
        <v>73</v>
      </c>
      <c r="O43" s="999"/>
      <c r="P43" s="999"/>
      <c r="Q43" s="999" t="s">
        <v>74</v>
      </c>
      <c r="R43" s="999"/>
      <c r="S43" s="999"/>
    </row>
    <row r="44" spans="3:19" ht="13.35" customHeight="1">
      <c r="C44" s="305" t="s">
        <v>230</v>
      </c>
      <c r="D44" s="305" t="s">
        <v>231</v>
      </c>
      <c r="E44" s="997" t="s">
        <v>243</v>
      </c>
      <c r="F44" s="997"/>
      <c r="G44" s="997"/>
      <c r="H44" s="997" t="s">
        <v>243</v>
      </c>
      <c r="I44" s="997"/>
      <c r="J44" s="997"/>
      <c r="K44" s="997" t="s">
        <v>243</v>
      </c>
      <c r="L44" s="997"/>
      <c r="M44" s="997"/>
      <c r="N44" s="997" t="s">
        <v>243</v>
      </c>
      <c r="O44" s="997"/>
      <c r="P44" s="997"/>
      <c r="Q44" s="997" t="s">
        <v>243</v>
      </c>
      <c r="R44" s="997"/>
      <c r="S44" s="997"/>
    </row>
    <row r="45" spans="3:19">
      <c r="C45" s="304"/>
      <c r="D45" s="304"/>
      <c r="E45" s="305" t="s">
        <v>233</v>
      </c>
      <c r="F45" s="305" t="s">
        <v>234</v>
      </c>
      <c r="G45" s="305" t="s">
        <v>235</v>
      </c>
      <c r="H45" s="305" t="s">
        <v>233</v>
      </c>
      <c r="I45" s="305" t="s">
        <v>234</v>
      </c>
      <c r="J45" s="305" t="s">
        <v>235</v>
      </c>
      <c r="K45" s="305" t="s">
        <v>233</v>
      </c>
      <c r="L45" s="305" t="s">
        <v>234</v>
      </c>
      <c r="M45" s="305" t="s">
        <v>235</v>
      </c>
      <c r="N45" s="305" t="s">
        <v>233</v>
      </c>
      <c r="O45" s="305" t="s">
        <v>234</v>
      </c>
      <c r="P45" s="305" t="s">
        <v>235</v>
      </c>
      <c r="Q45" s="305" t="s">
        <v>233</v>
      </c>
      <c r="R45" s="305" t="s">
        <v>234</v>
      </c>
      <c r="S45" s="305" t="s">
        <v>235</v>
      </c>
    </row>
    <row r="46" spans="3:19" ht="15.75" thickBot="1">
      <c r="C46" s="302"/>
      <c r="D46" s="302" t="s">
        <v>244</v>
      </c>
      <c r="E46" s="661">
        <v>1551674</v>
      </c>
      <c r="F46" s="661">
        <v>273825</v>
      </c>
      <c r="G46" s="661">
        <v>1825499</v>
      </c>
      <c r="H46" s="661">
        <v>1784425</v>
      </c>
      <c r="I46" s="661">
        <v>314898</v>
      </c>
      <c r="J46" s="661">
        <v>2099323</v>
      </c>
      <c r="K46" s="661">
        <v>2052089</v>
      </c>
      <c r="L46" s="661">
        <v>362133</v>
      </c>
      <c r="M46" s="661">
        <v>2414222</v>
      </c>
      <c r="N46" s="661">
        <v>2359902</v>
      </c>
      <c r="O46" s="661">
        <v>416453</v>
      </c>
      <c r="P46" s="661">
        <v>2776355</v>
      </c>
      <c r="Q46" s="661">
        <v>2713887</v>
      </c>
      <c r="R46" s="661">
        <v>478921</v>
      </c>
      <c r="S46" s="661">
        <v>3192808</v>
      </c>
    </row>
    <row r="47" spans="3:19" ht="15.75" thickBot="1">
      <c r="C47" s="302"/>
      <c r="D47" s="302" t="s">
        <v>245</v>
      </c>
      <c r="E47" s="661">
        <v>221668</v>
      </c>
      <c r="F47" s="661">
        <v>39118</v>
      </c>
      <c r="G47" s="661">
        <v>260786</v>
      </c>
      <c r="H47" s="661">
        <v>254918</v>
      </c>
      <c r="I47" s="661">
        <v>44985</v>
      </c>
      <c r="J47" s="661">
        <v>299903</v>
      </c>
      <c r="K47" s="661">
        <v>293156</v>
      </c>
      <c r="L47" s="661">
        <v>51733</v>
      </c>
      <c r="M47" s="661">
        <v>344889</v>
      </c>
      <c r="N47" s="661">
        <v>337129</v>
      </c>
      <c r="O47" s="661">
        <v>59493</v>
      </c>
      <c r="P47" s="661">
        <v>396622</v>
      </c>
      <c r="Q47" s="661">
        <v>387698</v>
      </c>
      <c r="R47" s="661">
        <v>68417</v>
      </c>
      <c r="S47" s="661">
        <v>456115</v>
      </c>
    </row>
    <row r="48" spans="3:19" ht="15.75" thickBot="1">
      <c r="C48" s="302"/>
      <c r="D48" s="302" t="s">
        <v>246</v>
      </c>
      <c r="E48" s="661">
        <v>443335</v>
      </c>
      <c r="F48" s="661">
        <v>78236</v>
      </c>
      <c r="G48" s="661">
        <v>521571</v>
      </c>
      <c r="H48" s="661">
        <v>509836</v>
      </c>
      <c r="I48" s="661">
        <v>89971</v>
      </c>
      <c r="J48" s="661">
        <v>599807</v>
      </c>
      <c r="K48" s="661">
        <v>586311</v>
      </c>
      <c r="L48" s="661">
        <v>103467</v>
      </c>
      <c r="M48" s="661">
        <v>689778</v>
      </c>
      <c r="N48" s="661">
        <v>674258</v>
      </c>
      <c r="O48" s="661">
        <v>118987</v>
      </c>
      <c r="P48" s="661">
        <v>793245</v>
      </c>
      <c r="Q48" s="661">
        <v>775396</v>
      </c>
      <c r="R48" s="661">
        <v>136835</v>
      </c>
      <c r="S48" s="661">
        <v>912231</v>
      </c>
    </row>
    <row r="49" spans="3:19" ht="15.75" thickBot="1">
      <c r="C49" s="302"/>
      <c r="D49" s="302" t="s">
        <v>235</v>
      </c>
      <c r="E49" s="661">
        <v>2216677</v>
      </c>
      <c r="F49" s="661">
        <v>391179</v>
      </c>
      <c r="G49" s="661">
        <v>2607856</v>
      </c>
      <c r="H49" s="661">
        <v>2549179</v>
      </c>
      <c r="I49" s="661">
        <v>449854</v>
      </c>
      <c r="J49" s="661">
        <v>2999033</v>
      </c>
      <c r="K49" s="661">
        <v>2931556</v>
      </c>
      <c r="L49" s="661">
        <v>517333</v>
      </c>
      <c r="M49" s="661">
        <v>3448889</v>
      </c>
      <c r="N49" s="661">
        <v>3371289</v>
      </c>
      <c r="O49" s="661">
        <v>594933</v>
      </c>
      <c r="P49" s="661">
        <v>3966222</v>
      </c>
      <c r="Q49" s="661">
        <v>3876981</v>
      </c>
      <c r="R49" s="661">
        <v>684173</v>
      </c>
      <c r="S49" s="661">
        <v>4561154</v>
      </c>
    </row>
    <row r="50" spans="3:19">
      <c r="C50" s="301"/>
      <c r="D50" s="301"/>
    </row>
    <row r="54" spans="3:19" ht="13.35" customHeight="1"/>
    <row r="63" spans="3:19" ht="13.35" customHeight="1"/>
    <row r="72" ht="13.35" customHeight="1"/>
    <row r="81" ht="13.35" customHeight="1"/>
    <row r="90" ht="13.35" customHeight="1"/>
  </sheetData>
  <mergeCells count="40">
    <mergeCell ref="E43:G43"/>
    <mergeCell ref="H43:J43"/>
    <mergeCell ref="N43:P43"/>
    <mergeCell ref="Q43:S43"/>
    <mergeCell ref="E44:G44"/>
    <mergeCell ref="H44:J44"/>
    <mergeCell ref="K44:M44"/>
    <mergeCell ref="N44:P44"/>
    <mergeCell ref="Q44:S44"/>
    <mergeCell ref="E34:G34"/>
    <mergeCell ref="H34:J34"/>
    <mergeCell ref="E35:G35"/>
    <mergeCell ref="H35:J35"/>
    <mergeCell ref="K14:M14"/>
    <mergeCell ref="K15:M15"/>
    <mergeCell ref="E14:G14"/>
    <mergeCell ref="H14:J14"/>
    <mergeCell ref="H15:J15"/>
    <mergeCell ref="E24:G24"/>
    <mergeCell ref="E23:G23"/>
    <mergeCell ref="H23:J23"/>
    <mergeCell ref="H24:J24"/>
    <mergeCell ref="K35:M35"/>
    <mergeCell ref="N14:P14"/>
    <mergeCell ref="N15:P15"/>
    <mergeCell ref="K23:M23"/>
    <mergeCell ref="K24:M24"/>
    <mergeCell ref="N23:P23"/>
    <mergeCell ref="N24:P24"/>
    <mergeCell ref="Q23:S23"/>
    <mergeCell ref="Q24:S24"/>
    <mergeCell ref="N34:P34"/>
    <mergeCell ref="K43:M43"/>
    <mergeCell ref="K34:M34"/>
    <mergeCell ref="N35:P35"/>
    <mergeCell ref="C1:J2"/>
    <mergeCell ref="C3:J4"/>
    <mergeCell ref="C5:J5"/>
    <mergeCell ref="E7:J7"/>
    <mergeCell ref="E15:G15"/>
  </mergeCells>
  <pageMargins left="0.7" right="0.7" top="0.75" bottom="0.75" header="0.3" footer="0.3"/>
  <pageSetup scale="51"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K589"/>
  <sheetViews>
    <sheetView view="pageBreakPreview" topLeftCell="A225" zoomScale="60" zoomScaleNormal="91" workbookViewId="0">
      <selection activeCell="G251" sqref="G251"/>
    </sheetView>
  </sheetViews>
  <sheetFormatPr defaultColWidth="8.85546875" defaultRowHeight="15"/>
  <cols>
    <col min="1" max="1" width="17.7109375" style="379" customWidth="1"/>
    <col min="2" max="2" width="13.42578125" style="379" customWidth="1"/>
    <col min="3" max="3" width="14.7109375" style="379" customWidth="1"/>
    <col min="4" max="4" width="45.140625" style="378" bestFit="1" customWidth="1"/>
    <col min="5" max="5" width="19.28515625" style="378" customWidth="1"/>
    <col min="6" max="6" width="13.28515625" style="378" bestFit="1" customWidth="1"/>
    <col min="7" max="7" width="52" style="378" bestFit="1" customWidth="1"/>
    <col min="8" max="8" width="14" style="378" bestFit="1" customWidth="1"/>
    <col min="9" max="9" width="21.7109375" style="378" customWidth="1"/>
    <col min="10" max="10" width="14.7109375" style="378" customWidth="1"/>
    <col min="11" max="16384" width="8.85546875" style="378"/>
  </cols>
  <sheetData>
    <row r="1" spans="1:5" ht="15.75">
      <c r="A1" s="366" t="s">
        <v>714</v>
      </c>
    </row>
    <row r="2" spans="1:5" ht="15.75">
      <c r="A2" s="374" t="s">
        <v>715</v>
      </c>
    </row>
    <row r="3" spans="1:5">
      <c r="A3" s="372" t="s">
        <v>716</v>
      </c>
      <c r="B3" s="372" t="s">
        <v>717</v>
      </c>
      <c r="C3" s="372" t="s">
        <v>718</v>
      </c>
      <c r="D3" s="376" t="s">
        <v>719</v>
      </c>
      <c r="E3" s="372" t="s">
        <v>720</v>
      </c>
    </row>
    <row r="4" spans="1:5">
      <c r="A4" s="373">
        <v>100020</v>
      </c>
      <c r="B4" s="373">
        <v>8000</v>
      </c>
      <c r="C4" s="373" t="s">
        <v>721</v>
      </c>
      <c r="D4" s="369" t="s">
        <v>722</v>
      </c>
      <c r="E4" s="368">
        <v>0</v>
      </c>
    </row>
    <row r="5" spans="1:5">
      <c r="A5" s="373">
        <v>100054</v>
      </c>
      <c r="B5" s="373">
        <v>8000</v>
      </c>
      <c r="C5" s="373" t="s">
        <v>721</v>
      </c>
      <c r="D5" s="369" t="s">
        <v>723</v>
      </c>
      <c r="E5" s="368">
        <v>-32067343.559999999</v>
      </c>
    </row>
    <row r="6" spans="1:5">
      <c r="A6" s="373">
        <v>101060</v>
      </c>
      <c r="B6" s="373">
        <v>8000</v>
      </c>
      <c r="C6" s="373" t="s">
        <v>721</v>
      </c>
      <c r="D6" s="369" t="s">
        <v>724</v>
      </c>
      <c r="E6" s="368">
        <v>0</v>
      </c>
    </row>
    <row r="7" spans="1:5">
      <c r="A7" s="373">
        <v>101060</v>
      </c>
      <c r="B7" s="373">
        <v>8100</v>
      </c>
      <c r="C7" s="373" t="s">
        <v>725</v>
      </c>
      <c r="D7" s="369" t="s">
        <v>724</v>
      </c>
      <c r="E7" s="368">
        <v>0</v>
      </c>
    </row>
    <row r="8" spans="1:5">
      <c r="A8" s="373">
        <v>101070</v>
      </c>
      <c r="B8" s="373">
        <v>8000</v>
      </c>
      <c r="C8" s="373" t="s">
        <v>721</v>
      </c>
      <c r="D8" s="369" t="s">
        <v>726</v>
      </c>
      <c r="E8" s="368">
        <v>-375408449.58999997</v>
      </c>
    </row>
    <row r="9" spans="1:5">
      <c r="A9" s="373">
        <v>102010</v>
      </c>
      <c r="B9" s="373">
        <v>8000</v>
      </c>
      <c r="C9" s="373" t="s">
        <v>721</v>
      </c>
      <c r="D9" s="369" t="s">
        <v>727</v>
      </c>
      <c r="E9" s="368">
        <v>-931046058.62</v>
      </c>
    </row>
    <row r="10" spans="1:5">
      <c r="A10" s="373">
        <v>102010</v>
      </c>
      <c r="B10" s="373">
        <v>8100</v>
      </c>
      <c r="C10" s="373" t="s">
        <v>725</v>
      </c>
      <c r="D10" s="369" t="s">
        <v>727</v>
      </c>
      <c r="E10" s="368">
        <v>693597292.37</v>
      </c>
    </row>
    <row r="11" spans="1:5">
      <c r="A11" s="373">
        <v>122010</v>
      </c>
      <c r="B11" s="373">
        <v>8000</v>
      </c>
      <c r="C11" s="373" t="s">
        <v>721</v>
      </c>
      <c r="D11" s="369" t="s">
        <v>728</v>
      </c>
      <c r="E11" s="368">
        <v>0</v>
      </c>
    </row>
    <row r="12" spans="1:5">
      <c r="A12" s="373">
        <v>123030</v>
      </c>
      <c r="B12" s="373">
        <v>8000</v>
      </c>
      <c r="C12" s="373" t="s">
        <v>721</v>
      </c>
      <c r="D12" s="369" t="s">
        <v>729</v>
      </c>
      <c r="E12" s="368">
        <v>-2221757.65</v>
      </c>
    </row>
    <row r="13" spans="1:5">
      <c r="A13" s="373">
        <v>123030</v>
      </c>
      <c r="B13" s="373">
        <v>8100</v>
      </c>
      <c r="C13" s="373" t="s">
        <v>725</v>
      </c>
      <c r="D13" s="369" t="s">
        <v>729</v>
      </c>
      <c r="E13" s="368">
        <v>-801466</v>
      </c>
    </row>
    <row r="14" spans="1:5">
      <c r="A14" s="373">
        <v>123050</v>
      </c>
      <c r="B14" s="373">
        <v>8000</v>
      </c>
      <c r="C14" s="373" t="s">
        <v>721</v>
      </c>
      <c r="D14" s="369" t="s">
        <v>730</v>
      </c>
      <c r="E14" s="368">
        <v>-2140788.1</v>
      </c>
    </row>
    <row r="15" spans="1:5">
      <c r="A15" s="373">
        <v>123050</v>
      </c>
      <c r="B15" s="373">
        <v>8100</v>
      </c>
      <c r="C15" s="373" t="s">
        <v>725</v>
      </c>
      <c r="D15" s="369" t="s">
        <v>730</v>
      </c>
      <c r="E15" s="368">
        <v>-82764.58</v>
      </c>
    </row>
    <row r="16" spans="1:5">
      <c r="A16" s="373">
        <v>123060</v>
      </c>
      <c r="B16" s="373">
        <v>8000</v>
      </c>
      <c r="C16" s="373" t="s">
        <v>721</v>
      </c>
      <c r="D16" s="369" t="s">
        <v>731</v>
      </c>
      <c r="E16" s="368">
        <v>-2617351.2200000002</v>
      </c>
    </row>
    <row r="17" spans="1:5">
      <c r="A17" s="373">
        <v>123060</v>
      </c>
      <c r="B17" s="373">
        <v>8100</v>
      </c>
      <c r="C17" s="373" t="s">
        <v>725</v>
      </c>
      <c r="D17" s="369" t="s">
        <v>731</v>
      </c>
      <c r="E17" s="368">
        <v>-3239872</v>
      </c>
    </row>
    <row r="18" spans="1:5">
      <c r="A18" s="373">
        <v>123070</v>
      </c>
      <c r="B18" s="373">
        <v>8000</v>
      </c>
      <c r="C18" s="373" t="s">
        <v>721</v>
      </c>
      <c r="D18" s="369" t="s">
        <v>732</v>
      </c>
      <c r="E18" s="368">
        <v>0</v>
      </c>
    </row>
    <row r="19" spans="1:5">
      <c r="A19" s="373">
        <v>123090</v>
      </c>
      <c r="B19" s="373">
        <v>8000</v>
      </c>
      <c r="C19" s="373" t="s">
        <v>721</v>
      </c>
      <c r="D19" s="369" t="s">
        <v>733</v>
      </c>
      <c r="E19" s="368">
        <v>-1300009.23</v>
      </c>
    </row>
    <row r="20" spans="1:5">
      <c r="A20" s="373">
        <v>123110</v>
      </c>
      <c r="B20" s="373">
        <v>8000</v>
      </c>
      <c r="C20" s="373" t="s">
        <v>721</v>
      </c>
      <c r="D20" s="369" t="s">
        <v>734</v>
      </c>
      <c r="E20" s="368">
        <v>0</v>
      </c>
    </row>
    <row r="21" spans="1:5">
      <c r="A21" s="373">
        <v>123110</v>
      </c>
      <c r="B21" s="373">
        <v>8100</v>
      </c>
      <c r="C21" s="373" t="s">
        <v>725</v>
      </c>
      <c r="D21" s="369" t="s">
        <v>734</v>
      </c>
      <c r="E21" s="368">
        <v>-237024</v>
      </c>
    </row>
    <row r="22" spans="1:5">
      <c r="A22" s="373">
        <v>130010</v>
      </c>
      <c r="B22" s="373">
        <v>8000</v>
      </c>
      <c r="C22" s="373" t="s">
        <v>721</v>
      </c>
      <c r="D22" s="369" t="s">
        <v>735</v>
      </c>
      <c r="E22" s="368">
        <v>-4260336.09</v>
      </c>
    </row>
    <row r="23" spans="1:5">
      <c r="A23" s="373">
        <v>130010</v>
      </c>
      <c r="B23" s="373">
        <v>8100</v>
      </c>
      <c r="C23" s="373" t="s">
        <v>725</v>
      </c>
      <c r="D23" s="369" t="s">
        <v>735</v>
      </c>
      <c r="E23" s="368">
        <v>0</v>
      </c>
    </row>
    <row r="24" spans="1:5">
      <c r="A24" s="373">
        <v>130020</v>
      </c>
      <c r="B24" s="373">
        <v>8000</v>
      </c>
      <c r="C24" s="373" t="s">
        <v>721</v>
      </c>
      <c r="D24" s="369" t="s">
        <v>736</v>
      </c>
      <c r="E24" s="368">
        <v>-17908.830000000002</v>
      </c>
    </row>
    <row r="25" spans="1:5">
      <c r="A25" s="373">
        <v>130020</v>
      </c>
      <c r="B25" s="373">
        <v>8100</v>
      </c>
      <c r="C25" s="373" t="s">
        <v>725</v>
      </c>
      <c r="D25" s="369" t="s">
        <v>736</v>
      </c>
      <c r="E25" s="368">
        <v>4526.68</v>
      </c>
    </row>
    <row r="26" spans="1:5">
      <c r="A26" s="373">
        <v>130040</v>
      </c>
      <c r="B26" s="373">
        <v>8000</v>
      </c>
      <c r="C26" s="373" t="s">
        <v>721</v>
      </c>
      <c r="D26" s="369" t="s">
        <v>737</v>
      </c>
      <c r="E26" s="368">
        <v>0</v>
      </c>
    </row>
    <row r="27" spans="1:5">
      <c r="A27" s="373">
        <v>130040</v>
      </c>
      <c r="B27" s="373">
        <v>8100</v>
      </c>
      <c r="C27" s="373" t="s">
        <v>725</v>
      </c>
      <c r="D27" s="369" t="s">
        <v>737</v>
      </c>
      <c r="E27" s="368">
        <v>0</v>
      </c>
    </row>
    <row r="28" spans="1:5">
      <c r="A28" s="373">
        <v>131010</v>
      </c>
      <c r="B28" s="373">
        <v>8000</v>
      </c>
      <c r="C28" s="373" t="s">
        <v>721</v>
      </c>
      <c r="D28" s="369" t="s">
        <v>738</v>
      </c>
      <c r="E28" s="368">
        <v>-25338671.079999998</v>
      </c>
    </row>
    <row r="29" spans="1:5">
      <c r="A29" s="373">
        <v>131010</v>
      </c>
      <c r="B29" s="373">
        <v>8100</v>
      </c>
      <c r="C29" s="373" t="s">
        <v>725</v>
      </c>
      <c r="D29" s="369" t="s">
        <v>738</v>
      </c>
      <c r="E29" s="368">
        <v>0.54</v>
      </c>
    </row>
    <row r="30" spans="1:5">
      <c r="A30" s="373">
        <v>132010</v>
      </c>
      <c r="B30" s="373">
        <v>8000</v>
      </c>
      <c r="C30" s="373" t="s">
        <v>721</v>
      </c>
      <c r="D30" s="369" t="s">
        <v>739</v>
      </c>
      <c r="E30" s="368">
        <v>0</v>
      </c>
    </row>
    <row r="31" spans="1:5">
      <c r="A31" s="373">
        <v>132010</v>
      </c>
      <c r="B31" s="373">
        <v>8100</v>
      </c>
      <c r="C31" s="373" t="s">
        <v>725</v>
      </c>
      <c r="D31" s="369" t="s">
        <v>739</v>
      </c>
      <c r="E31" s="368">
        <v>0</v>
      </c>
    </row>
    <row r="32" spans="1:5">
      <c r="A32" s="373">
        <v>133010</v>
      </c>
      <c r="B32" s="373">
        <v>8000</v>
      </c>
      <c r="C32" s="373" t="s">
        <v>721</v>
      </c>
      <c r="D32" s="369" t="s">
        <v>740</v>
      </c>
      <c r="E32" s="368">
        <v>0</v>
      </c>
    </row>
    <row r="33" spans="1:5">
      <c r="A33" s="373">
        <v>134010</v>
      </c>
      <c r="B33" s="373">
        <v>8000</v>
      </c>
      <c r="C33" s="373" t="s">
        <v>721</v>
      </c>
      <c r="D33" s="369" t="s">
        <v>741</v>
      </c>
      <c r="E33" s="368">
        <v>0</v>
      </c>
    </row>
    <row r="34" spans="1:5">
      <c r="A34" s="373">
        <v>134010</v>
      </c>
      <c r="B34" s="373">
        <v>8100</v>
      </c>
      <c r="C34" s="373" t="s">
        <v>725</v>
      </c>
      <c r="D34" s="369" t="s">
        <v>741</v>
      </c>
      <c r="E34" s="368">
        <v>0</v>
      </c>
    </row>
    <row r="35" spans="1:5">
      <c r="A35" s="373">
        <v>135010</v>
      </c>
      <c r="B35" s="373">
        <v>8000</v>
      </c>
      <c r="C35" s="373" t="s">
        <v>721</v>
      </c>
      <c r="D35" s="369" t="s">
        <v>742</v>
      </c>
      <c r="E35" s="368">
        <v>0</v>
      </c>
    </row>
    <row r="36" spans="1:5">
      <c r="A36" s="373">
        <v>135010</v>
      </c>
      <c r="B36" s="373">
        <v>8100</v>
      </c>
      <c r="C36" s="373" t="s">
        <v>725</v>
      </c>
      <c r="D36" s="369" t="s">
        <v>742</v>
      </c>
      <c r="E36" s="368">
        <v>0</v>
      </c>
    </row>
    <row r="37" spans="1:5">
      <c r="A37" s="373">
        <v>140010</v>
      </c>
      <c r="B37" s="373">
        <v>8000</v>
      </c>
      <c r="C37" s="373" t="s">
        <v>721</v>
      </c>
      <c r="D37" s="369" t="s">
        <v>743</v>
      </c>
      <c r="E37" s="368">
        <v>0</v>
      </c>
    </row>
    <row r="38" spans="1:5">
      <c r="A38" s="373">
        <v>140020</v>
      </c>
      <c r="B38" s="373">
        <v>8000</v>
      </c>
      <c r="C38" s="373" t="s">
        <v>721</v>
      </c>
      <c r="D38" s="369" t="s">
        <v>744</v>
      </c>
      <c r="E38" s="368">
        <v>1332372</v>
      </c>
    </row>
    <row r="39" spans="1:5">
      <c r="A39" s="373">
        <v>140020</v>
      </c>
      <c r="B39" s="373">
        <v>8000</v>
      </c>
      <c r="C39" s="373" t="s">
        <v>721</v>
      </c>
      <c r="D39" s="369" t="s">
        <v>744</v>
      </c>
      <c r="E39" s="368">
        <v>-1332372</v>
      </c>
    </row>
    <row r="40" spans="1:5">
      <c r="A40" s="373">
        <v>140020</v>
      </c>
      <c r="B40" s="373">
        <v>8100</v>
      </c>
      <c r="C40" s="373" t="s">
        <v>725</v>
      </c>
      <c r="D40" s="369" t="s">
        <v>744</v>
      </c>
      <c r="E40" s="368">
        <v>0</v>
      </c>
    </row>
    <row r="41" spans="1:5">
      <c r="A41" s="373">
        <v>140030</v>
      </c>
      <c r="B41" s="373">
        <v>8000</v>
      </c>
      <c r="C41" s="373" t="s">
        <v>721</v>
      </c>
      <c r="D41" s="369" t="s">
        <v>745</v>
      </c>
      <c r="E41" s="368">
        <v>0</v>
      </c>
    </row>
    <row r="42" spans="1:5">
      <c r="A42" s="373">
        <v>140060</v>
      </c>
      <c r="B42" s="373">
        <v>8000</v>
      </c>
      <c r="C42" s="373" t="s">
        <v>721</v>
      </c>
      <c r="D42" s="369" t="s">
        <v>746</v>
      </c>
      <c r="E42" s="368">
        <v>0</v>
      </c>
    </row>
    <row r="43" spans="1:5">
      <c r="A43" s="373">
        <v>140070</v>
      </c>
      <c r="B43" s="373">
        <v>8000</v>
      </c>
      <c r="C43" s="373" t="s">
        <v>721</v>
      </c>
      <c r="D43" s="369" t="s">
        <v>747</v>
      </c>
      <c r="E43" s="368">
        <v>0</v>
      </c>
    </row>
    <row r="44" spans="1:5">
      <c r="A44" s="373">
        <v>140070</v>
      </c>
      <c r="B44" s="373">
        <v>8000</v>
      </c>
      <c r="C44" s="373" t="s">
        <v>721</v>
      </c>
      <c r="D44" s="369" t="s">
        <v>747</v>
      </c>
      <c r="E44" s="368">
        <v>0</v>
      </c>
    </row>
    <row r="45" spans="1:5">
      <c r="A45" s="373">
        <v>140070</v>
      </c>
      <c r="B45" s="373">
        <v>8100</v>
      </c>
      <c r="C45" s="373" t="s">
        <v>725</v>
      </c>
      <c r="D45" s="369" t="s">
        <v>747</v>
      </c>
      <c r="E45" s="368">
        <v>0</v>
      </c>
    </row>
    <row r="46" spans="1:5">
      <c r="A46" s="373">
        <v>140080</v>
      </c>
      <c r="B46" s="373">
        <v>8000</v>
      </c>
      <c r="C46" s="373" t="s">
        <v>721</v>
      </c>
      <c r="D46" s="369" t="s">
        <v>748</v>
      </c>
      <c r="E46" s="368">
        <v>0</v>
      </c>
    </row>
    <row r="47" spans="1:5">
      <c r="A47" s="373">
        <v>140080</v>
      </c>
      <c r="B47" s="373">
        <v>8000</v>
      </c>
      <c r="C47" s="373" t="s">
        <v>721</v>
      </c>
      <c r="D47" s="369" t="s">
        <v>748</v>
      </c>
      <c r="E47" s="368">
        <v>0</v>
      </c>
    </row>
    <row r="48" spans="1:5">
      <c r="A48" s="373">
        <v>140080</v>
      </c>
      <c r="B48" s="373">
        <v>8100</v>
      </c>
      <c r="C48" s="373" t="s">
        <v>725</v>
      </c>
      <c r="D48" s="369" t="s">
        <v>748</v>
      </c>
      <c r="E48" s="368">
        <v>0</v>
      </c>
    </row>
    <row r="49" spans="1:5">
      <c r="A49" s="373">
        <v>140090</v>
      </c>
      <c r="B49" s="373">
        <v>8000</v>
      </c>
      <c r="C49" s="373" t="s">
        <v>721</v>
      </c>
      <c r="D49" s="369" t="s">
        <v>749</v>
      </c>
      <c r="E49" s="368">
        <v>0</v>
      </c>
    </row>
    <row r="50" spans="1:5">
      <c r="A50" s="373">
        <v>140092</v>
      </c>
      <c r="B50" s="373">
        <v>8000</v>
      </c>
      <c r="C50" s="373" t="s">
        <v>721</v>
      </c>
      <c r="D50" s="369" t="s">
        <v>750</v>
      </c>
      <c r="E50" s="368">
        <v>0</v>
      </c>
    </row>
    <row r="51" spans="1:5">
      <c r="A51" s="373">
        <v>140092</v>
      </c>
      <c r="B51" s="373">
        <v>8100</v>
      </c>
      <c r="C51" s="373" t="s">
        <v>725</v>
      </c>
      <c r="D51" s="369" t="s">
        <v>750</v>
      </c>
      <c r="E51" s="368">
        <v>0</v>
      </c>
    </row>
    <row r="52" spans="1:5">
      <c r="A52" s="373">
        <v>140093</v>
      </c>
      <c r="B52" s="373">
        <v>8000</v>
      </c>
      <c r="C52" s="373" t="s">
        <v>721</v>
      </c>
      <c r="D52" s="369" t="s">
        <v>751</v>
      </c>
      <c r="E52" s="368">
        <v>0</v>
      </c>
    </row>
    <row r="53" spans="1:5">
      <c r="A53" s="373">
        <v>140093</v>
      </c>
      <c r="B53" s="373">
        <v>8100</v>
      </c>
      <c r="C53" s="373" t="s">
        <v>725</v>
      </c>
      <c r="D53" s="369" t="s">
        <v>751</v>
      </c>
      <c r="E53" s="368">
        <v>0</v>
      </c>
    </row>
    <row r="54" spans="1:5">
      <c r="A54" s="373">
        <v>140100</v>
      </c>
      <c r="B54" s="373">
        <v>8000</v>
      </c>
      <c r="C54" s="373" t="s">
        <v>721</v>
      </c>
      <c r="D54" s="369" t="s">
        <v>752</v>
      </c>
      <c r="E54" s="368">
        <v>79122</v>
      </c>
    </row>
    <row r="55" spans="1:5">
      <c r="A55" s="373">
        <v>140100</v>
      </c>
      <c r="B55" s="373">
        <v>8000</v>
      </c>
      <c r="C55" s="373" t="s">
        <v>721</v>
      </c>
      <c r="D55" s="369" t="s">
        <v>752</v>
      </c>
      <c r="E55" s="368">
        <v>-79122</v>
      </c>
    </row>
    <row r="56" spans="1:5">
      <c r="A56" s="373">
        <v>140100</v>
      </c>
      <c r="B56" s="373">
        <v>8100</v>
      </c>
      <c r="C56" s="373" t="s">
        <v>725</v>
      </c>
      <c r="D56" s="369" t="s">
        <v>752</v>
      </c>
      <c r="E56" s="368">
        <v>0</v>
      </c>
    </row>
    <row r="57" spans="1:5">
      <c r="A57" s="373">
        <v>140110</v>
      </c>
      <c r="B57" s="373">
        <v>8000</v>
      </c>
      <c r="C57" s="373" t="s">
        <v>721</v>
      </c>
      <c r="D57" s="369" t="s">
        <v>753</v>
      </c>
      <c r="E57" s="368">
        <v>348188</v>
      </c>
    </row>
    <row r="58" spans="1:5">
      <c r="A58" s="373">
        <v>140110</v>
      </c>
      <c r="B58" s="373">
        <v>8000</v>
      </c>
      <c r="C58" s="373" t="s">
        <v>721</v>
      </c>
      <c r="D58" s="369" t="s">
        <v>753</v>
      </c>
      <c r="E58" s="368">
        <v>-348188</v>
      </c>
    </row>
    <row r="59" spans="1:5">
      <c r="A59" s="373">
        <v>140110</v>
      </c>
      <c r="B59" s="373">
        <v>8100</v>
      </c>
      <c r="C59" s="373" t="s">
        <v>725</v>
      </c>
      <c r="D59" s="369" t="s">
        <v>753</v>
      </c>
      <c r="E59" s="368">
        <v>0</v>
      </c>
    </row>
    <row r="60" spans="1:5">
      <c r="A60" s="373">
        <v>140111</v>
      </c>
      <c r="B60" s="373">
        <v>8000</v>
      </c>
      <c r="C60" s="373" t="s">
        <v>721</v>
      </c>
      <c r="D60" s="369" t="s">
        <v>754</v>
      </c>
      <c r="E60" s="368">
        <v>0</v>
      </c>
    </row>
    <row r="61" spans="1:5">
      <c r="A61" s="373">
        <v>140111</v>
      </c>
      <c r="B61" s="373">
        <v>8100</v>
      </c>
      <c r="C61" s="373" t="s">
        <v>725</v>
      </c>
      <c r="D61" s="369" t="s">
        <v>754</v>
      </c>
      <c r="E61" s="368">
        <v>0</v>
      </c>
    </row>
    <row r="62" spans="1:5">
      <c r="A62" s="373">
        <v>140112</v>
      </c>
      <c r="B62" s="373">
        <v>8000</v>
      </c>
      <c r="C62" s="373" t="s">
        <v>721</v>
      </c>
      <c r="D62" s="369" t="s">
        <v>755</v>
      </c>
      <c r="E62" s="368">
        <v>0</v>
      </c>
    </row>
    <row r="63" spans="1:5">
      <c r="A63" s="373">
        <v>140112</v>
      </c>
      <c r="B63" s="373">
        <v>8100</v>
      </c>
      <c r="C63" s="373" t="s">
        <v>725</v>
      </c>
      <c r="D63" s="369" t="s">
        <v>755</v>
      </c>
      <c r="E63" s="368">
        <v>0</v>
      </c>
    </row>
    <row r="64" spans="1:5">
      <c r="A64" s="373">
        <v>140113</v>
      </c>
      <c r="B64" s="373">
        <v>8000</v>
      </c>
      <c r="C64" s="373" t="s">
        <v>721</v>
      </c>
      <c r="D64" s="369" t="s">
        <v>756</v>
      </c>
      <c r="E64" s="368">
        <v>0</v>
      </c>
    </row>
    <row r="65" spans="1:5">
      <c r="A65" s="373">
        <v>140113</v>
      </c>
      <c r="B65" s="373">
        <v>8100</v>
      </c>
      <c r="C65" s="373" t="s">
        <v>725</v>
      </c>
      <c r="D65" s="369" t="s">
        <v>756</v>
      </c>
      <c r="E65" s="368">
        <v>0</v>
      </c>
    </row>
    <row r="66" spans="1:5">
      <c r="A66" s="373">
        <v>140114</v>
      </c>
      <c r="B66" s="373">
        <v>8000</v>
      </c>
      <c r="C66" s="373" t="s">
        <v>721</v>
      </c>
      <c r="D66" s="369" t="s">
        <v>757</v>
      </c>
      <c r="E66" s="368">
        <v>0</v>
      </c>
    </row>
    <row r="67" spans="1:5">
      <c r="A67" s="373">
        <v>140120</v>
      </c>
      <c r="B67" s="373">
        <v>8000</v>
      </c>
      <c r="C67" s="373" t="s">
        <v>721</v>
      </c>
      <c r="D67" s="369" t="s">
        <v>758</v>
      </c>
      <c r="E67" s="368">
        <v>0</v>
      </c>
    </row>
    <row r="68" spans="1:5">
      <c r="A68" s="373">
        <v>140130</v>
      </c>
      <c r="B68" s="373">
        <v>8000</v>
      </c>
      <c r="C68" s="373" t="s">
        <v>721</v>
      </c>
      <c r="D68" s="369" t="s">
        <v>759</v>
      </c>
      <c r="E68" s="368">
        <v>0</v>
      </c>
    </row>
    <row r="69" spans="1:5">
      <c r="A69" s="373">
        <v>140130</v>
      </c>
      <c r="B69" s="373">
        <v>8100</v>
      </c>
      <c r="C69" s="373" t="s">
        <v>725</v>
      </c>
      <c r="D69" s="369" t="s">
        <v>759</v>
      </c>
      <c r="E69" s="368">
        <v>0</v>
      </c>
    </row>
    <row r="70" spans="1:5">
      <c r="A70" s="373">
        <v>140140</v>
      </c>
      <c r="B70" s="373">
        <v>8000</v>
      </c>
      <c r="C70" s="373" t="s">
        <v>721</v>
      </c>
      <c r="D70" s="369" t="s">
        <v>760</v>
      </c>
      <c r="E70" s="368">
        <v>0</v>
      </c>
    </row>
    <row r="71" spans="1:5">
      <c r="A71" s="373">
        <v>140140</v>
      </c>
      <c r="B71" s="373">
        <v>8100</v>
      </c>
      <c r="C71" s="373" t="s">
        <v>725</v>
      </c>
      <c r="D71" s="369" t="s">
        <v>760</v>
      </c>
      <c r="E71" s="368">
        <v>0</v>
      </c>
    </row>
    <row r="72" spans="1:5">
      <c r="A72" s="373">
        <v>140150</v>
      </c>
      <c r="B72" s="373">
        <v>8000</v>
      </c>
      <c r="C72" s="373" t="s">
        <v>721</v>
      </c>
      <c r="D72" s="369" t="s">
        <v>761</v>
      </c>
      <c r="E72" s="368">
        <v>7500</v>
      </c>
    </row>
    <row r="73" spans="1:5">
      <c r="A73" s="373">
        <v>140150</v>
      </c>
      <c r="B73" s="373">
        <v>8000</v>
      </c>
      <c r="C73" s="373" t="s">
        <v>721</v>
      </c>
      <c r="D73" s="369" t="s">
        <v>761</v>
      </c>
      <c r="E73" s="368">
        <v>-7500</v>
      </c>
    </row>
    <row r="74" spans="1:5">
      <c r="A74" s="373">
        <v>140150</v>
      </c>
      <c r="B74" s="373">
        <v>8100</v>
      </c>
      <c r="C74" s="373" t="s">
        <v>725</v>
      </c>
      <c r="D74" s="369" t="s">
        <v>761</v>
      </c>
      <c r="E74" s="368">
        <v>0</v>
      </c>
    </row>
    <row r="75" spans="1:5">
      <c r="A75" s="373">
        <v>140170</v>
      </c>
      <c r="B75" s="373">
        <v>8000</v>
      </c>
      <c r="C75" s="373" t="s">
        <v>721</v>
      </c>
      <c r="D75" s="369" t="s">
        <v>762</v>
      </c>
      <c r="E75" s="368">
        <v>55460</v>
      </c>
    </row>
    <row r="76" spans="1:5">
      <c r="A76" s="373">
        <v>140170</v>
      </c>
      <c r="B76" s="373">
        <v>8000</v>
      </c>
      <c r="C76" s="373" t="s">
        <v>721</v>
      </c>
      <c r="D76" s="369" t="s">
        <v>762</v>
      </c>
      <c r="E76" s="368">
        <v>-55460</v>
      </c>
    </row>
    <row r="77" spans="1:5">
      <c r="A77" s="373">
        <v>140170</v>
      </c>
      <c r="B77" s="373">
        <v>8100</v>
      </c>
      <c r="C77" s="373" t="s">
        <v>725</v>
      </c>
      <c r="D77" s="369" t="s">
        <v>762</v>
      </c>
      <c r="E77" s="368">
        <v>0</v>
      </c>
    </row>
    <row r="78" spans="1:5">
      <c r="A78" s="373">
        <v>140180</v>
      </c>
      <c r="B78" s="373">
        <v>8000</v>
      </c>
      <c r="C78" s="373" t="s">
        <v>721</v>
      </c>
      <c r="D78" s="369" t="s">
        <v>763</v>
      </c>
      <c r="E78" s="368">
        <v>0</v>
      </c>
    </row>
    <row r="79" spans="1:5">
      <c r="A79" s="373">
        <v>140200</v>
      </c>
      <c r="B79" s="373">
        <v>8000</v>
      </c>
      <c r="C79" s="373" t="s">
        <v>721</v>
      </c>
      <c r="D79" s="369" t="s">
        <v>764</v>
      </c>
      <c r="E79" s="368">
        <v>0</v>
      </c>
    </row>
    <row r="80" spans="1:5">
      <c r="A80" s="373">
        <v>140200</v>
      </c>
      <c r="B80" s="373">
        <v>8100</v>
      </c>
      <c r="C80" s="373" t="s">
        <v>725</v>
      </c>
      <c r="D80" s="369" t="s">
        <v>764</v>
      </c>
      <c r="E80" s="368">
        <v>0</v>
      </c>
    </row>
    <row r="81" spans="1:5">
      <c r="A81" s="373">
        <v>140210</v>
      </c>
      <c r="B81" s="373">
        <v>8000</v>
      </c>
      <c r="C81" s="373" t="s">
        <v>721</v>
      </c>
      <c r="D81" s="369" t="s">
        <v>765</v>
      </c>
      <c r="E81" s="368">
        <v>0</v>
      </c>
    </row>
    <row r="82" spans="1:5">
      <c r="A82" s="373">
        <v>140210</v>
      </c>
      <c r="B82" s="373">
        <v>8000</v>
      </c>
      <c r="C82" s="373" t="s">
        <v>721</v>
      </c>
      <c r="D82" s="369" t="s">
        <v>765</v>
      </c>
      <c r="E82" s="368">
        <v>0</v>
      </c>
    </row>
    <row r="83" spans="1:5">
      <c r="A83" s="373">
        <v>140210</v>
      </c>
      <c r="B83" s="373">
        <v>8100</v>
      </c>
      <c r="C83" s="373" t="s">
        <v>725</v>
      </c>
      <c r="D83" s="369" t="s">
        <v>765</v>
      </c>
      <c r="E83" s="368">
        <v>0</v>
      </c>
    </row>
    <row r="84" spans="1:5">
      <c r="A84" s="373">
        <v>140220</v>
      </c>
      <c r="B84" s="373">
        <v>8000</v>
      </c>
      <c r="C84" s="373" t="s">
        <v>721</v>
      </c>
      <c r="D84" s="369" t="s">
        <v>766</v>
      </c>
      <c r="E84" s="368">
        <v>-359</v>
      </c>
    </row>
    <row r="85" spans="1:5">
      <c r="A85" s="373">
        <v>140220</v>
      </c>
      <c r="B85" s="373">
        <v>8000</v>
      </c>
      <c r="C85" s="373" t="s">
        <v>721</v>
      </c>
      <c r="D85" s="369" t="s">
        <v>766</v>
      </c>
      <c r="E85" s="368">
        <v>359</v>
      </c>
    </row>
    <row r="86" spans="1:5">
      <c r="A86" s="373">
        <v>140220</v>
      </c>
      <c r="B86" s="373">
        <v>8100</v>
      </c>
      <c r="C86" s="373" t="s">
        <v>725</v>
      </c>
      <c r="D86" s="369" t="s">
        <v>766</v>
      </c>
      <c r="E86" s="368">
        <v>0</v>
      </c>
    </row>
    <row r="87" spans="1:5">
      <c r="A87" s="373">
        <v>140250</v>
      </c>
      <c r="B87" s="373">
        <v>8000</v>
      </c>
      <c r="C87" s="373" t="s">
        <v>721</v>
      </c>
      <c r="D87" s="369" t="s">
        <v>767</v>
      </c>
      <c r="E87" s="368">
        <v>0</v>
      </c>
    </row>
    <row r="88" spans="1:5">
      <c r="A88" s="373">
        <v>140250</v>
      </c>
      <c r="B88" s="373">
        <v>8100</v>
      </c>
      <c r="C88" s="373" t="s">
        <v>725</v>
      </c>
      <c r="D88" s="369" t="s">
        <v>767</v>
      </c>
      <c r="E88" s="368">
        <v>0</v>
      </c>
    </row>
    <row r="89" spans="1:5">
      <c r="A89" s="373">
        <v>140251</v>
      </c>
      <c r="B89" s="373">
        <v>8000</v>
      </c>
      <c r="C89" s="373" t="s">
        <v>721</v>
      </c>
      <c r="D89" s="369" t="s">
        <v>768</v>
      </c>
      <c r="E89" s="368">
        <v>0</v>
      </c>
    </row>
    <row r="90" spans="1:5">
      <c r="A90" s="373">
        <v>140251</v>
      </c>
      <c r="B90" s="373">
        <v>8100</v>
      </c>
      <c r="C90" s="373" t="s">
        <v>725</v>
      </c>
      <c r="D90" s="369" t="s">
        <v>768</v>
      </c>
      <c r="E90" s="368">
        <v>0</v>
      </c>
    </row>
    <row r="91" spans="1:5">
      <c r="A91" s="373">
        <v>140252</v>
      </c>
      <c r="B91" s="373">
        <v>8000</v>
      </c>
      <c r="C91" s="373" t="s">
        <v>721</v>
      </c>
      <c r="D91" s="369" t="s">
        <v>769</v>
      </c>
      <c r="E91" s="368">
        <v>0</v>
      </c>
    </row>
    <row r="92" spans="1:5">
      <c r="A92" s="373">
        <v>140252</v>
      </c>
      <c r="B92" s="373">
        <v>8100</v>
      </c>
      <c r="C92" s="373" t="s">
        <v>725</v>
      </c>
      <c r="D92" s="369" t="s">
        <v>769</v>
      </c>
      <c r="E92" s="368">
        <v>0</v>
      </c>
    </row>
    <row r="93" spans="1:5">
      <c r="A93" s="373">
        <v>141010</v>
      </c>
      <c r="B93" s="373">
        <v>8000</v>
      </c>
      <c r="C93" s="373" t="s">
        <v>721</v>
      </c>
      <c r="D93" s="369" t="s">
        <v>770</v>
      </c>
      <c r="E93" s="368">
        <v>0</v>
      </c>
    </row>
    <row r="94" spans="1:5">
      <c r="A94" s="373">
        <v>141010</v>
      </c>
      <c r="B94" s="373">
        <v>8100</v>
      </c>
      <c r="C94" s="373" t="s">
        <v>725</v>
      </c>
      <c r="D94" s="369" t="s">
        <v>770</v>
      </c>
      <c r="E94" s="368">
        <v>0</v>
      </c>
    </row>
    <row r="95" spans="1:5">
      <c r="A95" s="373">
        <v>141020</v>
      </c>
      <c r="B95" s="373">
        <v>8000</v>
      </c>
      <c r="C95" s="373" t="s">
        <v>721</v>
      </c>
      <c r="D95" s="369" t="s">
        <v>771</v>
      </c>
      <c r="E95" s="368">
        <v>0</v>
      </c>
    </row>
    <row r="96" spans="1:5">
      <c r="A96" s="373">
        <v>141020</v>
      </c>
      <c r="B96" s="373">
        <v>8100</v>
      </c>
      <c r="C96" s="373" t="s">
        <v>725</v>
      </c>
      <c r="D96" s="369" t="s">
        <v>771</v>
      </c>
      <c r="E96" s="368">
        <v>0</v>
      </c>
    </row>
    <row r="97" spans="1:5">
      <c r="A97" s="373">
        <v>141040</v>
      </c>
      <c r="B97" s="373">
        <v>8000</v>
      </c>
      <c r="C97" s="373" t="s">
        <v>721</v>
      </c>
      <c r="D97" s="369" t="s">
        <v>772</v>
      </c>
      <c r="E97" s="368">
        <v>0</v>
      </c>
    </row>
    <row r="98" spans="1:5">
      <c r="A98" s="373">
        <v>143020</v>
      </c>
      <c r="B98" s="373">
        <v>8000</v>
      </c>
      <c r="C98" s="373" t="s">
        <v>721</v>
      </c>
      <c r="D98" s="369" t="s">
        <v>773</v>
      </c>
      <c r="E98" s="368">
        <v>0</v>
      </c>
    </row>
    <row r="99" spans="1:5">
      <c r="A99" s="373">
        <v>143030</v>
      </c>
      <c r="B99" s="373">
        <v>8000</v>
      </c>
      <c r="C99" s="373" t="s">
        <v>721</v>
      </c>
      <c r="D99" s="369" t="s">
        <v>774</v>
      </c>
      <c r="E99" s="368">
        <v>-96708</v>
      </c>
    </row>
    <row r="100" spans="1:5">
      <c r="A100" s="373">
        <v>143030</v>
      </c>
      <c r="B100" s="373">
        <v>8100</v>
      </c>
      <c r="C100" s="373" t="s">
        <v>725</v>
      </c>
      <c r="D100" s="369" t="s">
        <v>774</v>
      </c>
      <c r="E100" s="368">
        <v>0</v>
      </c>
    </row>
    <row r="101" spans="1:5">
      <c r="A101" s="373">
        <v>143031</v>
      </c>
      <c r="B101" s="373">
        <v>8000</v>
      </c>
      <c r="C101" s="373" t="s">
        <v>721</v>
      </c>
      <c r="D101" s="369" t="s">
        <v>775</v>
      </c>
      <c r="E101" s="368">
        <v>-1069670</v>
      </c>
    </row>
    <row r="102" spans="1:5">
      <c r="A102" s="373">
        <v>143031</v>
      </c>
      <c r="B102" s="373">
        <v>8100</v>
      </c>
      <c r="C102" s="373" t="s">
        <v>725</v>
      </c>
      <c r="D102" s="369" t="s">
        <v>775</v>
      </c>
      <c r="E102" s="368">
        <v>0</v>
      </c>
    </row>
    <row r="103" spans="1:5">
      <c r="A103" s="373">
        <v>143060</v>
      </c>
      <c r="B103" s="373">
        <v>8000</v>
      </c>
      <c r="C103" s="373" t="s">
        <v>721</v>
      </c>
      <c r="D103" s="369" t="s">
        <v>776</v>
      </c>
      <c r="E103" s="368">
        <v>-84187</v>
      </c>
    </row>
    <row r="104" spans="1:5">
      <c r="A104" s="373">
        <v>143060</v>
      </c>
      <c r="B104" s="373">
        <v>8100</v>
      </c>
      <c r="C104" s="373" t="s">
        <v>725</v>
      </c>
      <c r="D104" s="369" t="s">
        <v>776</v>
      </c>
      <c r="E104" s="368">
        <v>0</v>
      </c>
    </row>
    <row r="105" spans="1:5">
      <c r="A105" s="373">
        <v>143090</v>
      </c>
      <c r="B105" s="373">
        <v>8000</v>
      </c>
      <c r="C105" s="373" t="s">
        <v>721</v>
      </c>
      <c r="D105" s="369" t="s">
        <v>777</v>
      </c>
      <c r="E105" s="368">
        <v>0</v>
      </c>
    </row>
    <row r="106" spans="1:5">
      <c r="A106" s="373">
        <v>143090</v>
      </c>
      <c r="B106" s="373">
        <v>8100</v>
      </c>
      <c r="C106" s="373" t="s">
        <v>725</v>
      </c>
      <c r="D106" s="369" t="s">
        <v>777</v>
      </c>
      <c r="E106" s="368">
        <v>0</v>
      </c>
    </row>
    <row r="107" spans="1:5">
      <c r="A107" s="373">
        <v>143120</v>
      </c>
      <c r="B107" s="373">
        <v>8000</v>
      </c>
      <c r="C107" s="373" t="s">
        <v>721</v>
      </c>
      <c r="D107" s="369" t="s">
        <v>778</v>
      </c>
      <c r="E107" s="368">
        <v>-272410.99</v>
      </c>
    </row>
    <row r="108" spans="1:5">
      <c r="A108" s="373">
        <v>143120</v>
      </c>
      <c r="B108" s="373">
        <v>8100</v>
      </c>
      <c r="C108" s="373" t="s">
        <v>725</v>
      </c>
      <c r="D108" s="369" t="s">
        <v>778</v>
      </c>
      <c r="E108" s="368">
        <v>-57841</v>
      </c>
    </row>
    <row r="109" spans="1:5">
      <c r="A109" s="373">
        <v>143130</v>
      </c>
      <c r="B109" s="373">
        <v>8000</v>
      </c>
      <c r="C109" s="373" t="s">
        <v>721</v>
      </c>
      <c r="D109" s="369" t="s">
        <v>779</v>
      </c>
      <c r="E109" s="368">
        <v>-272410.99</v>
      </c>
    </row>
    <row r="110" spans="1:5">
      <c r="A110" s="373">
        <v>143130</v>
      </c>
      <c r="B110" s="373">
        <v>8100</v>
      </c>
      <c r="C110" s="373" t="s">
        <v>725</v>
      </c>
      <c r="D110" s="369" t="s">
        <v>779</v>
      </c>
      <c r="E110" s="368">
        <v>-57841</v>
      </c>
    </row>
    <row r="111" spans="1:5">
      <c r="A111" s="373">
        <v>143140</v>
      </c>
      <c r="B111" s="373">
        <v>8000</v>
      </c>
      <c r="C111" s="373" t="s">
        <v>721</v>
      </c>
      <c r="D111" s="369" t="s">
        <v>780</v>
      </c>
      <c r="E111" s="368">
        <v>-198489.77</v>
      </c>
    </row>
    <row r="112" spans="1:5">
      <c r="A112" s="373">
        <v>144010</v>
      </c>
      <c r="B112" s="373">
        <v>8000</v>
      </c>
      <c r="C112" s="373" t="s">
        <v>721</v>
      </c>
      <c r="D112" s="369" t="s">
        <v>781</v>
      </c>
      <c r="E112" s="368">
        <v>0</v>
      </c>
    </row>
    <row r="113" spans="1:5">
      <c r="A113" s="373">
        <v>144010</v>
      </c>
      <c r="B113" s="373">
        <v>8100</v>
      </c>
      <c r="C113" s="373" t="s">
        <v>725</v>
      </c>
      <c r="D113" s="369" t="s">
        <v>781</v>
      </c>
      <c r="E113" s="368">
        <v>0</v>
      </c>
    </row>
    <row r="114" spans="1:5">
      <c r="A114" s="373">
        <v>144904</v>
      </c>
      <c r="B114" s="373">
        <v>8000</v>
      </c>
      <c r="C114" s="373" t="s">
        <v>721</v>
      </c>
      <c r="D114" s="369" t="s">
        <v>782</v>
      </c>
      <c r="E114" s="368">
        <v>-17265.66</v>
      </c>
    </row>
    <row r="115" spans="1:5">
      <c r="A115" s="373">
        <v>144904</v>
      </c>
      <c r="B115" s="373">
        <v>8100</v>
      </c>
      <c r="C115" s="373" t="s">
        <v>725</v>
      </c>
      <c r="D115" s="369" t="s">
        <v>782</v>
      </c>
      <c r="E115" s="368">
        <v>-639</v>
      </c>
    </row>
    <row r="116" spans="1:5">
      <c r="A116" s="373">
        <v>144905</v>
      </c>
      <c r="B116" s="373">
        <v>8000</v>
      </c>
      <c r="C116" s="373" t="s">
        <v>721</v>
      </c>
      <c r="D116" s="369" t="s">
        <v>783</v>
      </c>
      <c r="E116" s="368">
        <v>-17265.66</v>
      </c>
    </row>
    <row r="117" spans="1:5">
      <c r="A117" s="373">
        <v>144905</v>
      </c>
      <c r="B117" s="373">
        <v>8100</v>
      </c>
      <c r="C117" s="373" t="s">
        <v>725</v>
      </c>
      <c r="D117" s="369" t="s">
        <v>783</v>
      </c>
      <c r="E117" s="368">
        <v>-639</v>
      </c>
    </row>
    <row r="118" spans="1:5">
      <c r="A118" s="373">
        <v>144906</v>
      </c>
      <c r="B118" s="373">
        <v>8000</v>
      </c>
      <c r="C118" s="373" t="s">
        <v>721</v>
      </c>
      <c r="D118" s="369" t="s">
        <v>784</v>
      </c>
      <c r="E118" s="368">
        <v>0</v>
      </c>
    </row>
    <row r="119" spans="1:5">
      <c r="A119" s="373">
        <v>145010</v>
      </c>
      <c r="B119" s="373">
        <v>8000</v>
      </c>
      <c r="C119" s="373" t="s">
        <v>721</v>
      </c>
      <c r="D119" s="369" t="s">
        <v>785</v>
      </c>
      <c r="E119" s="368">
        <v>0</v>
      </c>
    </row>
    <row r="120" spans="1:5">
      <c r="A120" s="373">
        <v>145010</v>
      </c>
      <c r="B120" s="373">
        <v>8100</v>
      </c>
      <c r="C120" s="373" t="s">
        <v>725</v>
      </c>
      <c r="D120" s="369" t="s">
        <v>785</v>
      </c>
      <c r="E120" s="368">
        <v>0</v>
      </c>
    </row>
    <row r="121" spans="1:5">
      <c r="A121" s="373">
        <v>145016</v>
      </c>
      <c r="B121" s="373">
        <v>8000</v>
      </c>
      <c r="C121" s="373" t="s">
        <v>721</v>
      </c>
      <c r="D121" s="369" t="s">
        <v>786</v>
      </c>
      <c r="E121" s="368">
        <v>-3914.68</v>
      </c>
    </row>
    <row r="122" spans="1:5">
      <c r="A122" s="373">
        <v>145016</v>
      </c>
      <c r="B122" s="373">
        <v>8100</v>
      </c>
      <c r="C122" s="373" t="s">
        <v>725</v>
      </c>
      <c r="D122" s="369" t="s">
        <v>786</v>
      </c>
      <c r="E122" s="368">
        <v>-1678.32</v>
      </c>
    </row>
    <row r="123" spans="1:5">
      <c r="A123" s="373">
        <v>145017</v>
      </c>
      <c r="B123" s="373">
        <v>8000</v>
      </c>
      <c r="C123" s="373" t="s">
        <v>721</v>
      </c>
      <c r="D123" s="369" t="s">
        <v>787</v>
      </c>
      <c r="E123" s="368">
        <v>-3914.68</v>
      </c>
    </row>
    <row r="124" spans="1:5">
      <c r="A124" s="373">
        <v>145017</v>
      </c>
      <c r="B124" s="373">
        <v>8100</v>
      </c>
      <c r="C124" s="373" t="s">
        <v>725</v>
      </c>
      <c r="D124" s="369" t="s">
        <v>787</v>
      </c>
      <c r="E124" s="368">
        <v>-1678.32</v>
      </c>
    </row>
    <row r="125" spans="1:5">
      <c r="A125" s="373">
        <v>145018</v>
      </c>
      <c r="B125" s="373">
        <v>8000</v>
      </c>
      <c r="C125" s="373" t="s">
        <v>721</v>
      </c>
      <c r="D125" s="369" t="s">
        <v>788</v>
      </c>
      <c r="E125" s="368">
        <v>0</v>
      </c>
    </row>
    <row r="126" spans="1:5">
      <c r="A126" s="373">
        <v>146010</v>
      </c>
      <c r="B126" s="373">
        <v>8000</v>
      </c>
      <c r="C126" s="373" t="s">
        <v>721</v>
      </c>
      <c r="D126" s="369" t="s">
        <v>789</v>
      </c>
      <c r="E126" s="368">
        <v>-8673.6299999999992</v>
      </c>
    </row>
    <row r="127" spans="1:5">
      <c r="A127" s="373">
        <v>146010</v>
      </c>
      <c r="B127" s="373">
        <v>8100</v>
      </c>
      <c r="C127" s="373" t="s">
        <v>725</v>
      </c>
      <c r="D127" s="369" t="s">
        <v>789</v>
      </c>
      <c r="E127" s="368">
        <v>0</v>
      </c>
    </row>
    <row r="128" spans="1:5">
      <c r="A128" s="373">
        <v>146020</v>
      </c>
      <c r="B128" s="373">
        <v>8000</v>
      </c>
      <c r="C128" s="373" t="s">
        <v>721</v>
      </c>
      <c r="D128" s="369" t="s">
        <v>790</v>
      </c>
      <c r="E128" s="368">
        <v>0</v>
      </c>
    </row>
    <row r="129" spans="1:5">
      <c r="A129" s="373">
        <v>150010</v>
      </c>
      <c r="B129" s="373">
        <v>8000</v>
      </c>
      <c r="C129" s="373" t="s">
        <v>721</v>
      </c>
      <c r="D129" s="369" t="s">
        <v>791</v>
      </c>
      <c r="E129" s="368">
        <v>0</v>
      </c>
    </row>
    <row r="130" spans="1:5">
      <c r="A130" s="373">
        <v>150011</v>
      </c>
      <c r="B130" s="373">
        <v>8000</v>
      </c>
      <c r="C130" s="373" t="s">
        <v>721</v>
      </c>
      <c r="D130" s="369" t="s">
        <v>792</v>
      </c>
      <c r="E130" s="368">
        <v>879178</v>
      </c>
    </row>
    <row r="131" spans="1:5">
      <c r="A131" s="373">
        <v>150011</v>
      </c>
      <c r="B131" s="373">
        <v>8100</v>
      </c>
      <c r="C131" s="373" t="s">
        <v>725</v>
      </c>
      <c r="D131" s="369" t="s">
        <v>792</v>
      </c>
      <c r="E131" s="368">
        <v>0</v>
      </c>
    </row>
    <row r="132" spans="1:5">
      <c r="A132" s="373">
        <v>150030</v>
      </c>
      <c r="B132" s="373">
        <v>8000</v>
      </c>
      <c r="C132" s="373" t="s">
        <v>721</v>
      </c>
      <c r="D132" s="369" t="s">
        <v>793</v>
      </c>
      <c r="E132" s="368">
        <v>-24202308</v>
      </c>
    </row>
    <row r="133" spans="1:5">
      <c r="A133" s="373">
        <v>150030</v>
      </c>
      <c r="B133" s="373">
        <v>8100</v>
      </c>
      <c r="C133" s="373" t="s">
        <v>725</v>
      </c>
      <c r="D133" s="369" t="s">
        <v>793</v>
      </c>
      <c r="E133" s="368">
        <v>-4569622</v>
      </c>
    </row>
    <row r="134" spans="1:5">
      <c r="A134" s="373">
        <v>150040</v>
      </c>
      <c r="B134" s="373">
        <v>8000</v>
      </c>
      <c r="C134" s="373" t="s">
        <v>721</v>
      </c>
      <c r="D134" s="369" t="s">
        <v>794</v>
      </c>
      <c r="E134" s="368">
        <v>-80704</v>
      </c>
    </row>
    <row r="135" spans="1:5">
      <c r="A135" s="373">
        <v>150040</v>
      </c>
      <c r="B135" s="373">
        <v>8100</v>
      </c>
      <c r="C135" s="373" t="s">
        <v>725</v>
      </c>
      <c r="D135" s="369" t="s">
        <v>794</v>
      </c>
      <c r="E135" s="368">
        <v>0</v>
      </c>
    </row>
    <row r="136" spans="1:5">
      <c r="A136" s="373">
        <v>150080</v>
      </c>
      <c r="B136" s="373">
        <v>8000</v>
      </c>
      <c r="C136" s="373" t="s">
        <v>721</v>
      </c>
      <c r="D136" s="369" t="s">
        <v>795</v>
      </c>
      <c r="E136" s="368">
        <v>0</v>
      </c>
    </row>
    <row r="137" spans="1:5">
      <c r="A137" s="373">
        <v>150080</v>
      </c>
      <c r="B137" s="373">
        <v>8100</v>
      </c>
      <c r="C137" s="373" t="s">
        <v>725</v>
      </c>
      <c r="D137" s="369" t="s">
        <v>795</v>
      </c>
      <c r="E137" s="368">
        <v>0</v>
      </c>
    </row>
    <row r="138" spans="1:5">
      <c r="A138" s="373">
        <v>160010</v>
      </c>
      <c r="B138" s="373">
        <v>8100</v>
      </c>
      <c r="C138" s="373" t="s">
        <v>725</v>
      </c>
      <c r="D138" s="369" t="s">
        <v>796</v>
      </c>
      <c r="E138" s="368">
        <v>0</v>
      </c>
    </row>
    <row r="139" spans="1:5">
      <c r="A139" s="373">
        <v>160020</v>
      </c>
      <c r="B139" s="373">
        <v>8000</v>
      </c>
      <c r="C139" s="373" t="s">
        <v>721</v>
      </c>
      <c r="D139" s="369" t="s">
        <v>797</v>
      </c>
      <c r="E139" s="368">
        <v>0</v>
      </c>
    </row>
    <row r="140" spans="1:5">
      <c r="A140" s="373">
        <v>160030</v>
      </c>
      <c r="B140" s="373">
        <v>8000</v>
      </c>
      <c r="C140" s="373" t="s">
        <v>721</v>
      </c>
      <c r="D140" s="369" t="s">
        <v>798</v>
      </c>
      <c r="E140" s="368">
        <v>0</v>
      </c>
    </row>
    <row r="141" spans="1:5">
      <c r="A141" s="373">
        <v>160030</v>
      </c>
      <c r="B141" s="373">
        <v>8100</v>
      </c>
      <c r="C141" s="373" t="s">
        <v>725</v>
      </c>
      <c r="D141" s="369" t="s">
        <v>798</v>
      </c>
      <c r="E141" s="368">
        <v>0</v>
      </c>
    </row>
    <row r="142" spans="1:5">
      <c r="A142" s="373">
        <v>165010</v>
      </c>
      <c r="B142" s="373">
        <v>8000</v>
      </c>
      <c r="C142" s="373" t="s">
        <v>721</v>
      </c>
      <c r="D142" s="369" t="s">
        <v>799</v>
      </c>
      <c r="E142" s="368">
        <v>0</v>
      </c>
    </row>
    <row r="143" spans="1:5">
      <c r="A143" s="373">
        <v>165010</v>
      </c>
      <c r="B143" s="373">
        <v>8100</v>
      </c>
      <c r="C143" s="373" t="s">
        <v>725</v>
      </c>
      <c r="D143" s="369" t="s">
        <v>799</v>
      </c>
      <c r="E143" s="368">
        <v>0</v>
      </c>
    </row>
    <row r="144" spans="1:5">
      <c r="A144" s="373">
        <v>170010</v>
      </c>
      <c r="B144" s="373">
        <v>8000</v>
      </c>
      <c r="C144" s="373" t="s">
        <v>721</v>
      </c>
      <c r="D144" s="369" t="s">
        <v>800</v>
      </c>
      <c r="E144" s="368">
        <v>-677647159.72000003</v>
      </c>
    </row>
    <row r="145" spans="1:5">
      <c r="A145" s="373">
        <v>170020</v>
      </c>
      <c r="B145" s="373">
        <v>8000</v>
      </c>
      <c r="C145" s="373" t="s">
        <v>721</v>
      </c>
      <c r="D145" s="369" t="s">
        <v>801</v>
      </c>
      <c r="E145" s="368">
        <v>-391930980.83999997</v>
      </c>
    </row>
    <row r="146" spans="1:5">
      <c r="A146" s="373">
        <v>170030</v>
      </c>
      <c r="B146" s="373">
        <v>8000</v>
      </c>
      <c r="C146" s="373" t="s">
        <v>721</v>
      </c>
      <c r="D146" s="369" t="s">
        <v>802</v>
      </c>
      <c r="E146" s="368">
        <v>-701633871.89999998</v>
      </c>
    </row>
    <row r="147" spans="1:5">
      <c r="A147" s="373">
        <v>170040</v>
      </c>
      <c r="B147" s="373">
        <v>8000</v>
      </c>
      <c r="C147" s="373" t="s">
        <v>721</v>
      </c>
      <c r="D147" s="369" t="s">
        <v>803</v>
      </c>
      <c r="E147" s="368">
        <v>-482748.38</v>
      </c>
    </row>
    <row r="148" spans="1:5">
      <c r="A148" s="373">
        <v>170050</v>
      </c>
      <c r="B148" s="373">
        <v>8000</v>
      </c>
      <c r="C148" s="373" t="s">
        <v>721</v>
      </c>
      <c r="D148" s="369" t="s">
        <v>804</v>
      </c>
      <c r="E148" s="368">
        <v>-354915228.56</v>
      </c>
    </row>
    <row r="149" spans="1:5">
      <c r="A149" s="373">
        <v>170070</v>
      </c>
      <c r="B149" s="373">
        <v>8000</v>
      </c>
      <c r="C149" s="373" t="s">
        <v>721</v>
      </c>
      <c r="D149" s="369" t="s">
        <v>805</v>
      </c>
      <c r="E149" s="368">
        <v>0</v>
      </c>
    </row>
    <row r="150" spans="1:5">
      <c r="A150" s="373">
        <v>200010</v>
      </c>
      <c r="B150" s="373">
        <v>8100</v>
      </c>
      <c r="C150" s="373" t="s">
        <v>725</v>
      </c>
      <c r="D150" s="369" t="s">
        <v>806</v>
      </c>
      <c r="E150" s="368">
        <v>0</v>
      </c>
    </row>
    <row r="151" spans="1:5">
      <c r="A151" s="373">
        <v>200090</v>
      </c>
      <c r="B151" s="373">
        <v>8000</v>
      </c>
      <c r="C151" s="373" t="s">
        <v>721</v>
      </c>
      <c r="D151" s="369" t="s">
        <v>807</v>
      </c>
      <c r="E151" s="368">
        <v>0</v>
      </c>
    </row>
    <row r="152" spans="1:5">
      <c r="A152" s="373">
        <v>200100</v>
      </c>
      <c r="B152" s="373">
        <v>8000</v>
      </c>
      <c r="C152" s="373" t="s">
        <v>721</v>
      </c>
      <c r="D152" s="369" t="s">
        <v>808</v>
      </c>
      <c r="E152" s="368">
        <v>0</v>
      </c>
    </row>
    <row r="153" spans="1:5">
      <c r="A153" s="373">
        <v>200180</v>
      </c>
      <c r="B153" s="373">
        <v>8000</v>
      </c>
      <c r="C153" s="373" t="s">
        <v>721</v>
      </c>
      <c r="D153" s="369" t="s">
        <v>809</v>
      </c>
      <c r="E153" s="368">
        <v>961130</v>
      </c>
    </row>
    <row r="154" spans="1:5">
      <c r="A154" s="373">
        <v>201010</v>
      </c>
      <c r="B154" s="373">
        <v>8000</v>
      </c>
      <c r="C154" s="373" t="s">
        <v>721</v>
      </c>
      <c r="D154" s="369" t="s">
        <v>810</v>
      </c>
      <c r="E154" s="368">
        <v>12739447.43</v>
      </c>
    </row>
    <row r="155" spans="1:5">
      <c r="A155" s="373">
        <v>201010</v>
      </c>
      <c r="B155" s="373">
        <v>8100</v>
      </c>
      <c r="C155" s="373" t="s">
        <v>725</v>
      </c>
      <c r="D155" s="369" t="s">
        <v>810</v>
      </c>
      <c r="E155" s="368">
        <v>0</v>
      </c>
    </row>
    <row r="156" spans="1:5">
      <c r="A156" s="373">
        <v>202020</v>
      </c>
      <c r="B156" s="373">
        <v>8000</v>
      </c>
      <c r="C156" s="373" t="s">
        <v>721</v>
      </c>
      <c r="D156" s="369" t="s">
        <v>811</v>
      </c>
      <c r="E156" s="368">
        <v>214655335.74000001</v>
      </c>
    </row>
    <row r="157" spans="1:5">
      <c r="A157" s="373">
        <v>202020</v>
      </c>
      <c r="B157" s="373">
        <v>8100</v>
      </c>
      <c r="C157" s="373" t="s">
        <v>725</v>
      </c>
      <c r="D157" s="369" t="s">
        <v>811</v>
      </c>
      <c r="E157" s="368">
        <v>42145700.719999999</v>
      </c>
    </row>
    <row r="158" spans="1:5">
      <c r="A158" s="373">
        <v>202040</v>
      </c>
      <c r="B158" s="373">
        <v>8000</v>
      </c>
      <c r="C158" s="373" t="s">
        <v>721</v>
      </c>
      <c r="D158" s="369" t="s">
        <v>812</v>
      </c>
      <c r="E158" s="368">
        <v>8095392.6799999997</v>
      </c>
    </row>
    <row r="159" spans="1:5">
      <c r="A159" s="373">
        <v>202050</v>
      </c>
      <c r="B159" s="373">
        <v>8000</v>
      </c>
      <c r="C159" s="373" t="s">
        <v>721</v>
      </c>
      <c r="D159" s="369" t="s">
        <v>813</v>
      </c>
      <c r="E159" s="368">
        <v>22362.47</v>
      </c>
    </row>
    <row r="160" spans="1:5">
      <c r="A160" s="373">
        <v>202050</v>
      </c>
      <c r="B160" s="373">
        <v>8100</v>
      </c>
      <c r="C160" s="373" t="s">
        <v>725</v>
      </c>
      <c r="D160" s="369" t="s">
        <v>813</v>
      </c>
      <c r="E160" s="368">
        <v>115165</v>
      </c>
    </row>
    <row r="161" spans="1:5">
      <c r="A161" s="373">
        <v>202070</v>
      </c>
      <c r="B161" s="373">
        <v>8000</v>
      </c>
      <c r="C161" s="373" t="s">
        <v>721</v>
      </c>
      <c r="D161" s="369" t="s">
        <v>814</v>
      </c>
      <c r="E161" s="368">
        <v>443511.58</v>
      </c>
    </row>
    <row r="162" spans="1:5">
      <c r="A162" s="373">
        <v>202070</v>
      </c>
      <c r="B162" s="373">
        <v>8100</v>
      </c>
      <c r="C162" s="373" t="s">
        <v>725</v>
      </c>
      <c r="D162" s="369" t="s">
        <v>814</v>
      </c>
      <c r="E162" s="368">
        <v>0</v>
      </c>
    </row>
    <row r="163" spans="1:5">
      <c r="A163" s="373">
        <v>203020</v>
      </c>
      <c r="B163" s="373">
        <v>8000</v>
      </c>
      <c r="C163" s="373" t="s">
        <v>721</v>
      </c>
      <c r="D163" s="369" t="s">
        <v>815</v>
      </c>
      <c r="E163" s="368">
        <v>169462.35</v>
      </c>
    </row>
    <row r="164" spans="1:5">
      <c r="A164" s="373">
        <v>203040</v>
      </c>
      <c r="B164" s="373">
        <v>8100</v>
      </c>
      <c r="C164" s="373" t="s">
        <v>725</v>
      </c>
      <c r="D164" s="369" t="s">
        <v>816</v>
      </c>
      <c r="E164" s="368">
        <v>358976.85</v>
      </c>
    </row>
    <row r="165" spans="1:5">
      <c r="A165" s="373">
        <v>204010</v>
      </c>
      <c r="B165" s="373">
        <v>8100</v>
      </c>
      <c r="C165" s="373" t="s">
        <v>725</v>
      </c>
      <c r="D165" s="369" t="s">
        <v>817</v>
      </c>
      <c r="E165" s="368">
        <v>381634.92</v>
      </c>
    </row>
    <row r="166" spans="1:5">
      <c r="A166" s="373">
        <v>204020</v>
      </c>
      <c r="B166" s="373">
        <v>8100</v>
      </c>
      <c r="C166" s="373" t="s">
        <v>725</v>
      </c>
      <c r="D166" s="369" t="s">
        <v>818</v>
      </c>
      <c r="E166" s="368">
        <v>60840.33</v>
      </c>
    </row>
    <row r="167" spans="1:5">
      <c r="A167" s="373">
        <v>204040</v>
      </c>
      <c r="B167" s="373">
        <v>8000</v>
      </c>
      <c r="C167" s="373" t="s">
        <v>721</v>
      </c>
      <c r="D167" s="369" t="s">
        <v>819</v>
      </c>
      <c r="E167" s="368">
        <v>771130.72</v>
      </c>
    </row>
    <row r="168" spans="1:5">
      <c r="A168" s="373">
        <v>204040</v>
      </c>
      <c r="B168" s="373">
        <v>8100</v>
      </c>
      <c r="C168" s="373" t="s">
        <v>725</v>
      </c>
      <c r="D168" s="369" t="s">
        <v>819</v>
      </c>
      <c r="E168" s="368">
        <v>2363092.7400000002</v>
      </c>
    </row>
    <row r="169" spans="1:5">
      <c r="A169" s="373">
        <v>205010</v>
      </c>
      <c r="B169" s="373">
        <v>8000</v>
      </c>
      <c r="C169" s="373" t="s">
        <v>721</v>
      </c>
      <c r="D169" s="369" t="s">
        <v>820</v>
      </c>
      <c r="E169" s="368">
        <v>14921607.41</v>
      </c>
    </row>
    <row r="170" spans="1:5">
      <c r="A170" s="373">
        <v>205010</v>
      </c>
      <c r="B170" s="373">
        <v>8100</v>
      </c>
      <c r="C170" s="373" t="s">
        <v>725</v>
      </c>
      <c r="D170" s="369" t="s">
        <v>820</v>
      </c>
      <c r="E170" s="368">
        <v>0</v>
      </c>
    </row>
    <row r="171" spans="1:5">
      <c r="A171" s="373">
        <v>205060</v>
      </c>
      <c r="B171" s="373">
        <v>8000</v>
      </c>
      <c r="C171" s="373" t="s">
        <v>721</v>
      </c>
      <c r="D171" s="369" t="s">
        <v>821</v>
      </c>
      <c r="E171" s="368">
        <v>0</v>
      </c>
    </row>
    <row r="172" spans="1:5">
      <c r="A172" s="373">
        <v>205060</v>
      </c>
      <c r="B172" s="373">
        <v>8100</v>
      </c>
      <c r="C172" s="373" t="s">
        <v>725</v>
      </c>
      <c r="D172" s="369" t="s">
        <v>821</v>
      </c>
      <c r="E172" s="368">
        <v>7865982.1200000001</v>
      </c>
    </row>
    <row r="173" spans="1:5">
      <c r="A173" s="373">
        <v>205070</v>
      </c>
      <c r="B173" s="373">
        <v>8000</v>
      </c>
      <c r="C173" s="373" t="s">
        <v>721</v>
      </c>
      <c r="D173" s="369" t="s">
        <v>822</v>
      </c>
      <c r="E173" s="368">
        <v>615193.11</v>
      </c>
    </row>
    <row r="174" spans="1:5">
      <c r="A174" s="373">
        <v>206010</v>
      </c>
      <c r="B174" s="373">
        <v>8000</v>
      </c>
      <c r="C174" s="373" t="s">
        <v>721</v>
      </c>
      <c r="D174" s="369" t="s">
        <v>823</v>
      </c>
      <c r="E174" s="368">
        <v>128027.5</v>
      </c>
    </row>
    <row r="175" spans="1:5">
      <c r="A175" s="373">
        <v>206050</v>
      </c>
      <c r="B175" s="373">
        <v>8000</v>
      </c>
      <c r="C175" s="373" t="s">
        <v>721</v>
      </c>
      <c r="D175" s="369" t="s">
        <v>824</v>
      </c>
      <c r="E175" s="368">
        <v>3745813.55</v>
      </c>
    </row>
    <row r="176" spans="1:5">
      <c r="A176" s="373">
        <v>206050</v>
      </c>
      <c r="B176" s="373">
        <v>8100</v>
      </c>
      <c r="C176" s="373" t="s">
        <v>725</v>
      </c>
      <c r="D176" s="369" t="s">
        <v>824</v>
      </c>
      <c r="E176" s="368">
        <v>7167663</v>
      </c>
    </row>
    <row r="177" spans="1:5">
      <c r="A177" s="373">
        <v>206060</v>
      </c>
      <c r="B177" s="373">
        <v>8100</v>
      </c>
      <c r="C177" s="373" t="s">
        <v>725</v>
      </c>
      <c r="D177" s="369" t="s">
        <v>825</v>
      </c>
      <c r="E177" s="368">
        <v>3314.8</v>
      </c>
    </row>
    <row r="178" spans="1:5">
      <c r="A178" s="373">
        <v>206070</v>
      </c>
      <c r="B178" s="373">
        <v>8000</v>
      </c>
      <c r="C178" s="373" t="s">
        <v>721</v>
      </c>
      <c r="D178" s="369" t="s">
        <v>826</v>
      </c>
      <c r="E178" s="368">
        <v>609980954.48000002</v>
      </c>
    </row>
    <row r="179" spans="1:5">
      <c r="A179" s="373">
        <v>206070</v>
      </c>
      <c r="B179" s="373">
        <v>8100</v>
      </c>
      <c r="C179" s="373" t="s">
        <v>725</v>
      </c>
      <c r="D179" s="369" t="s">
        <v>826</v>
      </c>
      <c r="E179" s="368">
        <v>63425668.950000003</v>
      </c>
    </row>
    <row r="180" spans="1:5">
      <c r="A180" s="373">
        <v>206080</v>
      </c>
      <c r="B180" s="373">
        <v>8000</v>
      </c>
      <c r="C180" s="373" t="s">
        <v>721</v>
      </c>
      <c r="D180" s="369" t="s">
        <v>827</v>
      </c>
      <c r="E180" s="368">
        <v>2378096.6800000002</v>
      </c>
    </row>
    <row r="181" spans="1:5">
      <c r="A181" s="373">
        <v>206080</v>
      </c>
      <c r="B181" s="373">
        <v>8100</v>
      </c>
      <c r="C181" s="373" t="s">
        <v>725</v>
      </c>
      <c r="D181" s="369" t="s">
        <v>827</v>
      </c>
      <c r="E181" s="368">
        <v>8691577.0700000003</v>
      </c>
    </row>
    <row r="182" spans="1:5">
      <c r="A182" s="373">
        <v>206090</v>
      </c>
      <c r="B182" s="373">
        <v>8000</v>
      </c>
      <c r="C182" s="373" t="s">
        <v>721</v>
      </c>
      <c r="D182" s="369" t="s">
        <v>828</v>
      </c>
      <c r="E182" s="368">
        <v>1183217.48</v>
      </c>
    </row>
    <row r="183" spans="1:5">
      <c r="A183" s="373">
        <v>206090</v>
      </c>
      <c r="B183" s="373">
        <v>8100</v>
      </c>
      <c r="C183" s="373" t="s">
        <v>725</v>
      </c>
      <c r="D183" s="369" t="s">
        <v>828</v>
      </c>
      <c r="E183" s="368">
        <v>16385.04</v>
      </c>
    </row>
    <row r="184" spans="1:5">
      <c r="A184" s="373">
        <v>206100</v>
      </c>
      <c r="B184" s="373">
        <v>8000</v>
      </c>
      <c r="C184" s="373" t="s">
        <v>721</v>
      </c>
      <c r="D184" s="369" t="s">
        <v>829</v>
      </c>
      <c r="E184" s="368">
        <v>16454771.34</v>
      </c>
    </row>
    <row r="185" spans="1:5">
      <c r="A185" s="373">
        <v>206100</v>
      </c>
      <c r="B185" s="373">
        <v>8100</v>
      </c>
      <c r="C185" s="373" t="s">
        <v>725</v>
      </c>
      <c r="D185" s="369" t="s">
        <v>829</v>
      </c>
      <c r="E185" s="368">
        <v>316018</v>
      </c>
    </row>
    <row r="186" spans="1:5">
      <c r="A186" s="373">
        <v>206110</v>
      </c>
      <c r="B186" s="373">
        <v>8000</v>
      </c>
      <c r="C186" s="373" t="s">
        <v>721</v>
      </c>
      <c r="D186" s="369" t="s">
        <v>830</v>
      </c>
      <c r="E186" s="368">
        <v>654583.32999999996</v>
      </c>
    </row>
    <row r="187" spans="1:5">
      <c r="A187" s="373">
        <v>206110</v>
      </c>
      <c r="B187" s="373">
        <v>8100</v>
      </c>
      <c r="C187" s="373" t="s">
        <v>725</v>
      </c>
      <c r="D187" s="369" t="s">
        <v>830</v>
      </c>
      <c r="E187" s="368">
        <v>51600</v>
      </c>
    </row>
    <row r="188" spans="1:5">
      <c r="A188" s="373">
        <v>206120</v>
      </c>
      <c r="B188" s="373">
        <v>8000</v>
      </c>
      <c r="C188" s="373" t="s">
        <v>721</v>
      </c>
      <c r="D188" s="369" t="s">
        <v>831</v>
      </c>
      <c r="E188" s="368">
        <v>71789.279999999999</v>
      </c>
    </row>
    <row r="189" spans="1:5">
      <c r="A189" s="373">
        <v>206120</v>
      </c>
      <c r="B189" s="373">
        <v>8100</v>
      </c>
      <c r="C189" s="373" t="s">
        <v>725</v>
      </c>
      <c r="D189" s="369" t="s">
        <v>831</v>
      </c>
      <c r="E189" s="368">
        <v>35482.01</v>
      </c>
    </row>
    <row r="190" spans="1:5">
      <c r="A190" s="373">
        <v>206130</v>
      </c>
      <c r="B190" s="373">
        <v>8000</v>
      </c>
      <c r="C190" s="373" t="s">
        <v>721</v>
      </c>
      <c r="D190" s="369" t="s">
        <v>832</v>
      </c>
      <c r="E190" s="368">
        <v>37552.949999999997</v>
      </c>
    </row>
    <row r="191" spans="1:5">
      <c r="A191" s="373">
        <v>206130</v>
      </c>
      <c r="B191" s="373">
        <v>8100</v>
      </c>
      <c r="C191" s="373" t="s">
        <v>725</v>
      </c>
      <c r="D191" s="369" t="s">
        <v>832</v>
      </c>
      <c r="E191" s="368">
        <v>3679614.9</v>
      </c>
    </row>
    <row r="192" spans="1:5">
      <c r="A192" s="373">
        <v>206150</v>
      </c>
      <c r="B192" s="373">
        <v>8100</v>
      </c>
      <c r="C192" s="373" t="s">
        <v>725</v>
      </c>
      <c r="D192" s="369" t="s">
        <v>833</v>
      </c>
      <c r="E192" s="368">
        <v>627983.73</v>
      </c>
    </row>
    <row r="193" spans="1:5">
      <c r="A193" s="373">
        <v>206200</v>
      </c>
      <c r="B193" s="373">
        <v>8000</v>
      </c>
      <c r="C193" s="373" t="s">
        <v>721</v>
      </c>
      <c r="D193" s="369" t="s">
        <v>834</v>
      </c>
      <c r="E193" s="368">
        <v>7113156.9500000002</v>
      </c>
    </row>
    <row r="194" spans="1:5">
      <c r="A194" s="373">
        <v>206200</v>
      </c>
      <c r="B194" s="373">
        <v>8100</v>
      </c>
      <c r="C194" s="373" t="s">
        <v>725</v>
      </c>
      <c r="D194" s="369" t="s">
        <v>834</v>
      </c>
      <c r="E194" s="368">
        <v>805595</v>
      </c>
    </row>
    <row r="195" spans="1:5">
      <c r="A195" s="373">
        <v>208010</v>
      </c>
      <c r="B195" s="373">
        <v>8000</v>
      </c>
      <c r="C195" s="373" t="s">
        <v>721</v>
      </c>
      <c r="D195" s="369" t="s">
        <v>835</v>
      </c>
      <c r="E195" s="368">
        <v>15566.88</v>
      </c>
    </row>
    <row r="196" spans="1:5">
      <c r="A196" s="373">
        <v>208010</v>
      </c>
      <c r="B196" s="373">
        <v>8100</v>
      </c>
      <c r="C196" s="373" t="s">
        <v>725</v>
      </c>
      <c r="D196" s="369" t="s">
        <v>835</v>
      </c>
      <c r="E196" s="368">
        <v>594018.05000000005</v>
      </c>
    </row>
    <row r="197" spans="1:5">
      <c r="A197" s="373">
        <v>208050</v>
      </c>
      <c r="B197" s="373">
        <v>8000</v>
      </c>
      <c r="C197" s="373" t="s">
        <v>721</v>
      </c>
      <c r="D197" s="369" t="s">
        <v>836</v>
      </c>
      <c r="E197" s="368">
        <v>956506.22</v>
      </c>
    </row>
    <row r="198" spans="1:5">
      <c r="A198" s="373">
        <v>208050</v>
      </c>
      <c r="B198" s="373">
        <v>8100</v>
      </c>
      <c r="C198" s="373" t="s">
        <v>725</v>
      </c>
      <c r="D198" s="369" t="s">
        <v>836</v>
      </c>
      <c r="E198" s="368">
        <v>123206.55</v>
      </c>
    </row>
    <row r="199" spans="1:5">
      <c r="A199" s="373">
        <v>208060</v>
      </c>
      <c r="B199" s="373">
        <v>8000</v>
      </c>
      <c r="C199" s="373" t="s">
        <v>721</v>
      </c>
      <c r="D199" s="369" t="s">
        <v>837</v>
      </c>
      <c r="E199" s="368">
        <v>556150</v>
      </c>
    </row>
    <row r="200" spans="1:5">
      <c r="A200" s="373">
        <v>209030</v>
      </c>
      <c r="B200" s="373">
        <v>8000</v>
      </c>
      <c r="C200" s="373" t="s">
        <v>721</v>
      </c>
      <c r="D200" s="369" t="s">
        <v>838</v>
      </c>
      <c r="E200" s="368">
        <v>3731610.6</v>
      </c>
    </row>
    <row r="201" spans="1:5">
      <c r="A201" s="373">
        <v>209030</v>
      </c>
      <c r="B201" s="373">
        <v>8100</v>
      </c>
      <c r="C201" s="373" t="s">
        <v>725</v>
      </c>
      <c r="D201" s="369" t="s">
        <v>838</v>
      </c>
      <c r="E201" s="368">
        <v>0</v>
      </c>
    </row>
    <row r="202" spans="1:5">
      <c r="A202" s="373">
        <v>209310</v>
      </c>
      <c r="B202" s="373">
        <v>8000</v>
      </c>
      <c r="C202" s="373" t="s">
        <v>721</v>
      </c>
      <c r="D202" s="369" t="s">
        <v>839</v>
      </c>
      <c r="E202" s="368">
        <v>2858566.16</v>
      </c>
    </row>
    <row r="203" spans="1:5">
      <c r="A203" s="373">
        <v>209310</v>
      </c>
      <c r="B203" s="373">
        <v>8100</v>
      </c>
      <c r="C203" s="373" t="s">
        <v>725</v>
      </c>
      <c r="D203" s="369" t="s">
        <v>839</v>
      </c>
      <c r="E203" s="368">
        <v>2383395.36</v>
      </c>
    </row>
    <row r="204" spans="1:5">
      <c r="A204" s="373">
        <v>209320</v>
      </c>
      <c r="B204" s="373">
        <v>8000</v>
      </c>
      <c r="C204" s="373" t="s">
        <v>721</v>
      </c>
      <c r="D204" s="369" t="s">
        <v>840</v>
      </c>
      <c r="E204" s="368">
        <v>18900430.190000001</v>
      </c>
    </row>
    <row r="205" spans="1:5">
      <c r="A205" s="373">
        <v>209320</v>
      </c>
      <c r="B205" s="373">
        <v>8100</v>
      </c>
      <c r="C205" s="373" t="s">
        <v>725</v>
      </c>
      <c r="D205" s="369" t="s">
        <v>840</v>
      </c>
      <c r="E205" s="368">
        <v>2679588.66</v>
      </c>
    </row>
    <row r="206" spans="1:5">
      <c r="A206" s="373">
        <v>209510</v>
      </c>
      <c r="B206" s="373">
        <v>8000</v>
      </c>
      <c r="C206" s="373" t="s">
        <v>721</v>
      </c>
      <c r="D206" s="369" t="s">
        <v>841</v>
      </c>
      <c r="E206" s="368">
        <v>28280606.219999999</v>
      </c>
    </row>
    <row r="207" spans="1:5">
      <c r="A207" s="373">
        <v>209510</v>
      </c>
      <c r="B207" s="373">
        <v>8100</v>
      </c>
      <c r="C207" s="373" t="s">
        <v>725</v>
      </c>
      <c r="D207" s="369" t="s">
        <v>841</v>
      </c>
      <c r="E207" s="368">
        <v>0</v>
      </c>
    </row>
    <row r="208" spans="1:5">
      <c r="A208" s="373">
        <v>209610</v>
      </c>
      <c r="B208" s="373">
        <v>8000</v>
      </c>
      <c r="C208" s="373" t="s">
        <v>721</v>
      </c>
      <c r="D208" s="369" t="s">
        <v>842</v>
      </c>
      <c r="E208" s="368">
        <v>27792612.149999999</v>
      </c>
    </row>
    <row r="209" spans="1:5">
      <c r="A209" s="373">
        <v>209610</v>
      </c>
      <c r="B209" s="373">
        <v>8100</v>
      </c>
      <c r="C209" s="373" t="s">
        <v>725</v>
      </c>
      <c r="D209" s="369" t="s">
        <v>842</v>
      </c>
      <c r="E209" s="368">
        <v>1366731.25</v>
      </c>
    </row>
    <row r="210" spans="1:5">
      <c r="A210" s="373">
        <v>209620</v>
      </c>
      <c r="B210" s="373">
        <v>8000</v>
      </c>
      <c r="C210" s="373" t="s">
        <v>721</v>
      </c>
      <c r="D210" s="369" t="s">
        <v>843</v>
      </c>
      <c r="E210" s="368">
        <v>58663</v>
      </c>
    </row>
    <row r="211" spans="1:5">
      <c r="A211" s="373">
        <v>209620</v>
      </c>
      <c r="B211" s="373">
        <v>8100</v>
      </c>
      <c r="C211" s="373" t="s">
        <v>725</v>
      </c>
      <c r="D211" s="369" t="s">
        <v>843</v>
      </c>
      <c r="E211" s="368">
        <v>37733</v>
      </c>
    </row>
    <row r="212" spans="1:5">
      <c r="A212" s="373">
        <v>209630</v>
      </c>
      <c r="B212" s="373">
        <v>8000</v>
      </c>
      <c r="C212" s="373" t="s">
        <v>721</v>
      </c>
      <c r="D212" s="369" t="s">
        <v>844</v>
      </c>
      <c r="E212" s="368">
        <v>609679.01</v>
      </c>
    </row>
    <row r="213" spans="1:5">
      <c r="A213" s="373">
        <v>209640</v>
      </c>
      <c r="B213" s="373">
        <v>8000</v>
      </c>
      <c r="C213" s="373" t="s">
        <v>721</v>
      </c>
      <c r="D213" s="369" t="s">
        <v>845</v>
      </c>
      <c r="E213" s="368">
        <v>0</v>
      </c>
    </row>
    <row r="214" spans="1:5">
      <c r="A214" s="373">
        <v>209650</v>
      </c>
      <c r="B214" s="373">
        <v>8000</v>
      </c>
      <c r="C214" s="373" t="s">
        <v>721</v>
      </c>
      <c r="D214" s="369" t="s">
        <v>846</v>
      </c>
      <c r="E214" s="368">
        <v>829959.99</v>
      </c>
    </row>
    <row r="215" spans="1:5">
      <c r="A215" s="373">
        <v>209650</v>
      </c>
      <c r="B215" s="373">
        <v>8100</v>
      </c>
      <c r="C215" s="373" t="s">
        <v>725</v>
      </c>
      <c r="D215" s="369" t="s">
        <v>846</v>
      </c>
      <c r="E215" s="368">
        <v>0</v>
      </c>
    </row>
    <row r="216" spans="1:5">
      <c r="A216" s="373">
        <v>209660</v>
      </c>
      <c r="B216" s="373">
        <v>8000</v>
      </c>
      <c r="C216" s="373" t="s">
        <v>721</v>
      </c>
      <c r="D216" s="369" t="s">
        <v>847</v>
      </c>
      <c r="E216" s="368">
        <v>10350464.439999999</v>
      </c>
    </row>
    <row r="217" spans="1:5">
      <c r="A217" s="373">
        <v>209660</v>
      </c>
      <c r="B217" s="373">
        <v>8100</v>
      </c>
      <c r="C217" s="373" t="s">
        <v>725</v>
      </c>
      <c r="D217" s="369" t="s">
        <v>847</v>
      </c>
      <c r="E217" s="368">
        <v>2154605.96</v>
      </c>
    </row>
    <row r="218" spans="1:5">
      <c r="A218" s="373">
        <v>209670</v>
      </c>
      <c r="B218" s="373">
        <v>8000</v>
      </c>
      <c r="C218" s="373" t="s">
        <v>721</v>
      </c>
      <c r="D218" s="369" t="s">
        <v>848</v>
      </c>
      <c r="E218" s="368">
        <v>42467238</v>
      </c>
    </row>
    <row r="219" spans="1:5">
      <c r="A219" s="373">
        <v>209680</v>
      </c>
      <c r="B219" s="373">
        <v>8000</v>
      </c>
      <c r="C219" s="373" t="s">
        <v>721</v>
      </c>
      <c r="D219" s="369" t="s">
        <v>849</v>
      </c>
      <c r="E219" s="368">
        <v>5125356</v>
      </c>
    </row>
    <row r="220" spans="1:5">
      <c r="A220" s="373">
        <v>209690</v>
      </c>
      <c r="B220" s="373">
        <v>8000</v>
      </c>
      <c r="C220" s="373" t="s">
        <v>721</v>
      </c>
      <c r="D220" s="369" t="s">
        <v>850</v>
      </c>
      <c r="E220" s="368">
        <v>4474598</v>
      </c>
    </row>
    <row r="221" spans="1:5">
      <c r="A221" s="373">
        <v>210100</v>
      </c>
      <c r="B221" s="373">
        <v>8000</v>
      </c>
      <c r="C221" s="373" t="s">
        <v>721</v>
      </c>
      <c r="D221" s="369" t="s">
        <v>851</v>
      </c>
      <c r="E221" s="368">
        <v>0</v>
      </c>
    </row>
    <row r="222" spans="1:5">
      <c r="A222" s="373">
        <v>210180</v>
      </c>
      <c r="B222" s="373">
        <v>8000</v>
      </c>
      <c r="C222" s="373" t="s">
        <v>721</v>
      </c>
      <c r="D222" s="369" t="s">
        <v>852</v>
      </c>
      <c r="E222" s="368">
        <v>-961130</v>
      </c>
    </row>
    <row r="223" spans="1:5">
      <c r="A223" s="373">
        <v>211010</v>
      </c>
      <c r="B223" s="373">
        <v>8000</v>
      </c>
      <c r="C223" s="373" t="s">
        <v>721</v>
      </c>
      <c r="D223" s="369" t="s">
        <v>853</v>
      </c>
      <c r="E223" s="368">
        <v>-11465502.689999999</v>
      </c>
    </row>
    <row r="224" spans="1:5">
      <c r="A224" s="373">
        <v>211010</v>
      </c>
      <c r="B224" s="373">
        <v>8100</v>
      </c>
      <c r="C224" s="373" t="s">
        <v>725</v>
      </c>
      <c r="D224" s="369" t="s">
        <v>853</v>
      </c>
      <c r="E224" s="368">
        <v>0</v>
      </c>
    </row>
    <row r="225" spans="1:5">
      <c r="A225" s="373">
        <v>212020</v>
      </c>
      <c r="B225" s="373">
        <v>8000</v>
      </c>
      <c r="C225" s="373" t="s">
        <v>721</v>
      </c>
      <c r="D225" s="369" t="s">
        <v>854</v>
      </c>
      <c r="E225" s="368">
        <v>-71161539.260000005</v>
      </c>
    </row>
    <row r="226" spans="1:5">
      <c r="A226" s="373">
        <v>212020</v>
      </c>
      <c r="B226" s="373">
        <v>8100</v>
      </c>
      <c r="C226" s="373" t="s">
        <v>725</v>
      </c>
      <c r="D226" s="369" t="s">
        <v>854</v>
      </c>
      <c r="E226" s="368">
        <v>-16301363.09</v>
      </c>
    </row>
    <row r="227" spans="1:5">
      <c r="A227" s="373">
        <v>212040</v>
      </c>
      <c r="B227" s="373">
        <v>8000</v>
      </c>
      <c r="C227" s="373" t="s">
        <v>721</v>
      </c>
      <c r="D227" s="369" t="s">
        <v>855</v>
      </c>
      <c r="E227" s="368">
        <v>-6200793.04</v>
      </c>
    </row>
    <row r="228" spans="1:5">
      <c r="A228" s="373">
        <v>212050</v>
      </c>
      <c r="B228" s="373">
        <v>8000</v>
      </c>
      <c r="C228" s="373" t="s">
        <v>721</v>
      </c>
      <c r="D228" s="369" t="s">
        <v>856</v>
      </c>
      <c r="E228" s="368">
        <v>-15391.06</v>
      </c>
    </row>
    <row r="229" spans="1:5">
      <c r="A229" s="373">
        <v>212050</v>
      </c>
      <c r="B229" s="373">
        <v>8100</v>
      </c>
      <c r="C229" s="373" t="s">
        <v>725</v>
      </c>
      <c r="D229" s="369" t="s">
        <v>856</v>
      </c>
      <c r="E229" s="368">
        <v>-31910.57</v>
      </c>
    </row>
    <row r="230" spans="1:5">
      <c r="A230" s="373">
        <v>212070</v>
      </c>
      <c r="B230" s="373">
        <v>8000</v>
      </c>
      <c r="C230" s="373" t="s">
        <v>721</v>
      </c>
      <c r="D230" s="369" t="s">
        <v>857</v>
      </c>
      <c r="E230" s="368">
        <v>-384727.5</v>
      </c>
    </row>
    <row r="231" spans="1:5">
      <c r="A231" s="373">
        <v>212070</v>
      </c>
      <c r="B231" s="373">
        <v>8100</v>
      </c>
      <c r="C231" s="373" t="s">
        <v>725</v>
      </c>
      <c r="D231" s="369" t="s">
        <v>857</v>
      </c>
      <c r="E231" s="368">
        <v>0</v>
      </c>
    </row>
    <row r="232" spans="1:5">
      <c r="A232" s="373">
        <v>213020</v>
      </c>
      <c r="B232" s="373">
        <v>8000</v>
      </c>
      <c r="C232" s="373" t="s">
        <v>721</v>
      </c>
      <c r="D232" s="369" t="s">
        <v>858</v>
      </c>
      <c r="E232" s="368">
        <v>-151719.21</v>
      </c>
    </row>
    <row r="233" spans="1:5">
      <c r="A233" s="373">
        <v>213040</v>
      </c>
      <c r="B233" s="373">
        <v>8100</v>
      </c>
      <c r="C233" s="373" t="s">
        <v>725</v>
      </c>
      <c r="D233" s="369" t="s">
        <v>859</v>
      </c>
      <c r="E233" s="368">
        <v>-321093.28000000003</v>
      </c>
    </row>
    <row r="234" spans="1:5">
      <c r="A234" s="373">
        <v>214010</v>
      </c>
      <c r="B234" s="373">
        <v>8100</v>
      </c>
      <c r="C234" s="373" t="s">
        <v>725</v>
      </c>
      <c r="D234" s="369" t="s">
        <v>860</v>
      </c>
      <c r="E234" s="368">
        <v>-284033.27</v>
      </c>
    </row>
    <row r="235" spans="1:5">
      <c r="A235" s="373">
        <v>214020</v>
      </c>
      <c r="B235" s="373">
        <v>8100</v>
      </c>
      <c r="C235" s="373" t="s">
        <v>725</v>
      </c>
      <c r="D235" s="369" t="s">
        <v>861</v>
      </c>
      <c r="E235" s="368">
        <v>-54756.3</v>
      </c>
    </row>
    <row r="236" spans="1:5">
      <c r="A236" s="373">
        <v>214040</v>
      </c>
      <c r="B236" s="373">
        <v>8000</v>
      </c>
      <c r="C236" s="373" t="s">
        <v>721</v>
      </c>
      <c r="D236" s="369" t="s">
        <v>862</v>
      </c>
      <c r="E236" s="368">
        <v>-370212.82</v>
      </c>
    </row>
    <row r="237" spans="1:5">
      <c r="A237" s="373">
        <v>214040</v>
      </c>
      <c r="B237" s="373">
        <v>8100</v>
      </c>
      <c r="C237" s="373" t="s">
        <v>725</v>
      </c>
      <c r="D237" s="369" t="s">
        <v>862</v>
      </c>
      <c r="E237" s="368">
        <v>-1871870.3</v>
      </c>
    </row>
    <row r="238" spans="1:5">
      <c r="A238" s="373">
        <v>215010</v>
      </c>
      <c r="B238" s="373">
        <v>8000</v>
      </c>
      <c r="C238" s="373" t="s">
        <v>721</v>
      </c>
      <c r="D238" s="369" t="s">
        <v>863</v>
      </c>
      <c r="E238" s="368">
        <v>-5560240.9299999997</v>
      </c>
    </row>
    <row r="239" spans="1:5">
      <c r="A239" s="373">
        <v>215010</v>
      </c>
      <c r="B239" s="373">
        <v>8100</v>
      </c>
      <c r="C239" s="373" t="s">
        <v>725</v>
      </c>
      <c r="D239" s="369" t="s">
        <v>863</v>
      </c>
      <c r="E239" s="368">
        <v>0</v>
      </c>
    </row>
    <row r="240" spans="1:5">
      <c r="A240" s="373">
        <v>215060</v>
      </c>
      <c r="B240" s="373">
        <v>8000</v>
      </c>
      <c r="C240" s="373" t="s">
        <v>721</v>
      </c>
      <c r="D240" s="369" t="s">
        <v>864</v>
      </c>
      <c r="E240" s="368">
        <v>0</v>
      </c>
    </row>
    <row r="241" spans="1:5">
      <c r="A241" s="373">
        <v>215060</v>
      </c>
      <c r="B241" s="373">
        <v>8100</v>
      </c>
      <c r="C241" s="373" t="s">
        <v>725</v>
      </c>
      <c r="D241" s="369" t="s">
        <v>864</v>
      </c>
      <c r="E241" s="368">
        <v>-4026176.03</v>
      </c>
    </row>
    <row r="242" spans="1:5">
      <c r="A242" s="373">
        <v>215070</v>
      </c>
      <c r="B242" s="373">
        <v>8000</v>
      </c>
      <c r="C242" s="373" t="s">
        <v>721</v>
      </c>
      <c r="D242" s="369" t="s">
        <v>865</v>
      </c>
      <c r="E242" s="368">
        <v>-553673.80000000005</v>
      </c>
    </row>
    <row r="243" spans="1:5">
      <c r="A243" s="373">
        <v>216010</v>
      </c>
      <c r="B243" s="373">
        <v>8000</v>
      </c>
      <c r="C243" s="373" t="s">
        <v>721</v>
      </c>
      <c r="D243" s="369" t="s">
        <v>866</v>
      </c>
      <c r="E243" s="368">
        <v>-76604.009999999995</v>
      </c>
    </row>
    <row r="244" spans="1:5">
      <c r="A244" s="373">
        <v>216050</v>
      </c>
      <c r="B244" s="373">
        <v>8000</v>
      </c>
      <c r="C244" s="373" t="s">
        <v>721</v>
      </c>
      <c r="D244" s="369" t="s">
        <v>867</v>
      </c>
      <c r="E244" s="368">
        <v>-2271985.67</v>
      </c>
    </row>
    <row r="245" spans="1:5">
      <c r="A245" s="373">
        <v>216050</v>
      </c>
      <c r="B245" s="373">
        <v>8100</v>
      </c>
      <c r="C245" s="373" t="s">
        <v>725</v>
      </c>
      <c r="D245" s="369" t="s">
        <v>867</v>
      </c>
      <c r="E245" s="368">
        <v>-4263043.9400000004</v>
      </c>
    </row>
    <row r="246" spans="1:5">
      <c r="A246" s="373">
        <v>216060</v>
      </c>
      <c r="B246" s="373">
        <v>8100</v>
      </c>
      <c r="C246" s="373" t="s">
        <v>725</v>
      </c>
      <c r="D246" s="369" t="s">
        <v>868</v>
      </c>
      <c r="E246" s="368">
        <v>-2983.32</v>
      </c>
    </row>
    <row r="247" spans="1:5">
      <c r="A247" s="373">
        <v>216070</v>
      </c>
      <c r="B247" s="373">
        <v>8000</v>
      </c>
      <c r="C247" s="373" t="s">
        <v>721</v>
      </c>
      <c r="D247" s="369" t="s">
        <v>869</v>
      </c>
      <c r="E247" s="368">
        <v>-527673902.64999998</v>
      </c>
    </row>
    <row r="248" spans="1:5">
      <c r="A248" s="373">
        <v>216070</v>
      </c>
      <c r="B248" s="373">
        <v>8100</v>
      </c>
      <c r="C248" s="373" t="s">
        <v>725</v>
      </c>
      <c r="D248" s="369" t="s">
        <v>869</v>
      </c>
      <c r="E248" s="368">
        <v>-55499625.140000001</v>
      </c>
    </row>
    <row r="249" spans="1:5">
      <c r="A249" s="373">
        <v>216080</v>
      </c>
      <c r="B249" s="373">
        <v>8000</v>
      </c>
      <c r="C249" s="373" t="s">
        <v>721</v>
      </c>
      <c r="D249" s="369" t="s">
        <v>870</v>
      </c>
      <c r="E249" s="368">
        <v>-1909732.71</v>
      </c>
    </row>
    <row r="250" spans="1:5">
      <c r="A250" s="373">
        <v>216080</v>
      </c>
      <c r="B250" s="373">
        <v>8100</v>
      </c>
      <c r="C250" s="373" t="s">
        <v>725</v>
      </c>
      <c r="D250" s="369" t="s">
        <v>870</v>
      </c>
      <c r="E250" s="368">
        <v>-7797303.5599999996</v>
      </c>
    </row>
    <row r="251" spans="1:5">
      <c r="A251" s="373">
        <v>216090</v>
      </c>
      <c r="B251" s="373">
        <v>8000</v>
      </c>
      <c r="C251" s="373" t="s">
        <v>721</v>
      </c>
      <c r="D251" s="369" t="s">
        <v>871</v>
      </c>
      <c r="E251" s="368">
        <v>-1064895.73</v>
      </c>
    </row>
    <row r="252" spans="1:5">
      <c r="A252" s="373">
        <v>216090</v>
      </c>
      <c r="B252" s="373">
        <v>8100</v>
      </c>
      <c r="C252" s="373" t="s">
        <v>725</v>
      </c>
      <c r="D252" s="369" t="s">
        <v>871</v>
      </c>
      <c r="E252" s="368">
        <v>-14746.54</v>
      </c>
    </row>
    <row r="253" spans="1:5">
      <c r="A253" s="373">
        <v>216100</v>
      </c>
      <c r="B253" s="373">
        <v>8000</v>
      </c>
      <c r="C253" s="373" t="s">
        <v>721</v>
      </c>
      <c r="D253" s="369" t="s">
        <v>872</v>
      </c>
      <c r="E253" s="368">
        <v>-9653413.9800000004</v>
      </c>
    </row>
    <row r="254" spans="1:5">
      <c r="A254" s="373">
        <v>216100</v>
      </c>
      <c r="B254" s="373">
        <v>8100</v>
      </c>
      <c r="C254" s="373" t="s">
        <v>725</v>
      </c>
      <c r="D254" s="369" t="s">
        <v>872</v>
      </c>
      <c r="E254" s="368">
        <v>-216244.27</v>
      </c>
    </row>
    <row r="255" spans="1:5">
      <c r="A255" s="373">
        <v>216110</v>
      </c>
      <c r="B255" s="373">
        <v>8000</v>
      </c>
      <c r="C255" s="373" t="s">
        <v>721</v>
      </c>
      <c r="D255" s="369" t="s">
        <v>873</v>
      </c>
      <c r="E255" s="368">
        <v>-585792.73</v>
      </c>
    </row>
    <row r="256" spans="1:5">
      <c r="A256" s="373">
        <v>216110</v>
      </c>
      <c r="B256" s="373">
        <v>8100</v>
      </c>
      <c r="C256" s="373" t="s">
        <v>725</v>
      </c>
      <c r="D256" s="369" t="s">
        <v>873</v>
      </c>
      <c r="E256" s="368">
        <v>-46440</v>
      </c>
    </row>
    <row r="257" spans="1:5">
      <c r="A257" s="373">
        <v>216120</v>
      </c>
      <c r="B257" s="373">
        <v>8000</v>
      </c>
      <c r="C257" s="373" t="s">
        <v>721</v>
      </c>
      <c r="D257" s="369" t="s">
        <v>874</v>
      </c>
      <c r="E257" s="368">
        <v>-46699.99</v>
      </c>
    </row>
    <row r="258" spans="1:5">
      <c r="A258" s="373">
        <v>216120</v>
      </c>
      <c r="B258" s="373">
        <v>8100</v>
      </c>
      <c r="C258" s="373" t="s">
        <v>725</v>
      </c>
      <c r="D258" s="369" t="s">
        <v>874</v>
      </c>
      <c r="E258" s="368">
        <v>-28914.3</v>
      </c>
    </row>
    <row r="259" spans="1:5">
      <c r="A259" s="373">
        <v>216130</v>
      </c>
      <c r="B259" s="373">
        <v>8000</v>
      </c>
      <c r="C259" s="373" t="s">
        <v>721</v>
      </c>
      <c r="D259" s="369" t="s">
        <v>875</v>
      </c>
      <c r="E259" s="368">
        <v>-33797.65</v>
      </c>
    </row>
    <row r="260" spans="1:5">
      <c r="A260" s="373">
        <v>216130</v>
      </c>
      <c r="B260" s="373">
        <v>8100</v>
      </c>
      <c r="C260" s="373" t="s">
        <v>725</v>
      </c>
      <c r="D260" s="369" t="s">
        <v>875</v>
      </c>
      <c r="E260" s="368">
        <v>-3311653.41</v>
      </c>
    </row>
    <row r="261" spans="1:5">
      <c r="A261" s="373">
        <v>216150</v>
      </c>
      <c r="B261" s="373">
        <v>8100</v>
      </c>
      <c r="C261" s="373" t="s">
        <v>725</v>
      </c>
      <c r="D261" s="369" t="s">
        <v>876</v>
      </c>
      <c r="E261" s="368">
        <v>-354377.78</v>
      </c>
    </row>
    <row r="262" spans="1:5">
      <c r="A262" s="373">
        <v>216200</v>
      </c>
      <c r="B262" s="373">
        <v>8000</v>
      </c>
      <c r="C262" s="373" t="s">
        <v>721</v>
      </c>
      <c r="D262" s="369" t="s">
        <v>877</v>
      </c>
      <c r="E262" s="368">
        <v>-6109340.1500000004</v>
      </c>
    </row>
    <row r="263" spans="1:5">
      <c r="A263" s="373">
        <v>216200</v>
      </c>
      <c r="B263" s="373">
        <v>8100</v>
      </c>
      <c r="C263" s="373" t="s">
        <v>725</v>
      </c>
      <c r="D263" s="369" t="s">
        <v>877</v>
      </c>
      <c r="E263" s="368">
        <v>-669676.6</v>
      </c>
    </row>
    <row r="264" spans="1:5">
      <c r="A264" s="373">
        <v>218010</v>
      </c>
      <c r="B264" s="373">
        <v>8000</v>
      </c>
      <c r="C264" s="373" t="s">
        <v>721</v>
      </c>
      <c r="D264" s="369" t="s">
        <v>878</v>
      </c>
      <c r="E264" s="368">
        <v>-14010.19</v>
      </c>
    </row>
    <row r="265" spans="1:5">
      <c r="A265" s="373">
        <v>218010</v>
      </c>
      <c r="B265" s="373">
        <v>8100</v>
      </c>
      <c r="C265" s="373" t="s">
        <v>725</v>
      </c>
      <c r="D265" s="369" t="s">
        <v>878</v>
      </c>
      <c r="E265" s="368">
        <v>-534616.24</v>
      </c>
    </row>
    <row r="266" spans="1:5">
      <c r="A266" s="373">
        <v>218050</v>
      </c>
      <c r="B266" s="373">
        <v>8000</v>
      </c>
      <c r="C266" s="373" t="s">
        <v>721</v>
      </c>
      <c r="D266" s="369" t="s">
        <v>879</v>
      </c>
      <c r="E266" s="368">
        <v>-496114.78</v>
      </c>
    </row>
    <row r="267" spans="1:5">
      <c r="A267" s="373">
        <v>218050</v>
      </c>
      <c r="B267" s="373">
        <v>8100</v>
      </c>
      <c r="C267" s="373" t="s">
        <v>725</v>
      </c>
      <c r="D267" s="369" t="s">
        <v>879</v>
      </c>
      <c r="E267" s="368">
        <v>-110886</v>
      </c>
    </row>
    <row r="268" spans="1:5">
      <c r="A268" s="373">
        <v>218060</v>
      </c>
      <c r="B268" s="373">
        <v>8000</v>
      </c>
      <c r="C268" s="373" t="s">
        <v>721</v>
      </c>
      <c r="D268" s="369" t="s">
        <v>880</v>
      </c>
      <c r="E268" s="368">
        <v>-309287.49</v>
      </c>
    </row>
    <row r="269" spans="1:5">
      <c r="A269" s="373">
        <v>219030</v>
      </c>
      <c r="B269" s="373">
        <v>8000</v>
      </c>
      <c r="C269" s="373" t="s">
        <v>721</v>
      </c>
      <c r="D269" s="369" t="s">
        <v>881</v>
      </c>
      <c r="E269" s="368">
        <v>-184438.7</v>
      </c>
    </row>
    <row r="270" spans="1:5">
      <c r="A270" s="373">
        <v>219030</v>
      </c>
      <c r="B270" s="373">
        <v>8100</v>
      </c>
      <c r="C270" s="373" t="s">
        <v>725</v>
      </c>
      <c r="D270" s="369" t="s">
        <v>881</v>
      </c>
      <c r="E270" s="368">
        <v>0</v>
      </c>
    </row>
    <row r="271" spans="1:5">
      <c r="A271" s="373">
        <v>219310</v>
      </c>
      <c r="B271" s="373">
        <v>8000</v>
      </c>
      <c r="C271" s="373" t="s">
        <v>721</v>
      </c>
      <c r="D271" s="369" t="s">
        <v>882</v>
      </c>
      <c r="E271" s="368">
        <v>-2341950.88</v>
      </c>
    </row>
    <row r="272" spans="1:5">
      <c r="A272" s="373">
        <v>219310</v>
      </c>
      <c r="B272" s="373">
        <v>8100</v>
      </c>
      <c r="C272" s="373" t="s">
        <v>725</v>
      </c>
      <c r="D272" s="369" t="s">
        <v>882</v>
      </c>
      <c r="E272" s="368">
        <v>-1609200.26</v>
      </c>
    </row>
    <row r="273" spans="1:5">
      <c r="A273" s="373">
        <v>219320</v>
      </c>
      <c r="B273" s="373">
        <v>8000</v>
      </c>
      <c r="C273" s="373" t="s">
        <v>721</v>
      </c>
      <c r="D273" s="369" t="s">
        <v>883</v>
      </c>
      <c r="E273" s="368">
        <v>-11203404.41</v>
      </c>
    </row>
    <row r="274" spans="1:5">
      <c r="A274" s="373">
        <v>219320</v>
      </c>
      <c r="B274" s="373">
        <v>8100</v>
      </c>
      <c r="C274" s="373" t="s">
        <v>725</v>
      </c>
      <c r="D274" s="369" t="s">
        <v>883</v>
      </c>
      <c r="E274" s="368">
        <v>-1717480.36</v>
      </c>
    </row>
    <row r="275" spans="1:5">
      <c r="A275" s="373">
        <v>219510</v>
      </c>
      <c r="B275" s="373">
        <v>8000</v>
      </c>
      <c r="C275" s="373" t="s">
        <v>721</v>
      </c>
      <c r="D275" s="369" t="s">
        <v>884</v>
      </c>
      <c r="E275" s="368">
        <v>-22977992.719999999</v>
      </c>
    </row>
    <row r="276" spans="1:5">
      <c r="A276" s="373">
        <v>219510</v>
      </c>
      <c r="B276" s="373">
        <v>8100</v>
      </c>
      <c r="C276" s="373" t="s">
        <v>725</v>
      </c>
      <c r="D276" s="369" t="s">
        <v>884</v>
      </c>
      <c r="E276" s="368">
        <v>0</v>
      </c>
    </row>
    <row r="277" spans="1:5">
      <c r="A277" s="373">
        <v>219610</v>
      </c>
      <c r="B277" s="373">
        <v>8000</v>
      </c>
      <c r="C277" s="373" t="s">
        <v>721</v>
      </c>
      <c r="D277" s="369" t="s">
        <v>885</v>
      </c>
      <c r="E277" s="368">
        <v>-22008376.699999999</v>
      </c>
    </row>
    <row r="278" spans="1:5">
      <c r="A278" s="373">
        <v>219610</v>
      </c>
      <c r="B278" s="373">
        <v>8100</v>
      </c>
      <c r="C278" s="373" t="s">
        <v>725</v>
      </c>
      <c r="D278" s="369" t="s">
        <v>885</v>
      </c>
      <c r="E278" s="368">
        <v>-1175416.98</v>
      </c>
    </row>
    <row r="279" spans="1:5">
      <c r="A279" s="373">
        <v>219620</v>
      </c>
      <c r="B279" s="373">
        <v>8000</v>
      </c>
      <c r="C279" s="373" t="s">
        <v>721</v>
      </c>
      <c r="D279" s="369" t="s">
        <v>886</v>
      </c>
      <c r="E279" s="368">
        <v>-51070.96</v>
      </c>
    </row>
    <row r="280" spans="1:5">
      <c r="A280" s="373">
        <v>219620</v>
      </c>
      <c r="B280" s="373">
        <v>8100</v>
      </c>
      <c r="C280" s="373" t="s">
        <v>725</v>
      </c>
      <c r="D280" s="369" t="s">
        <v>886</v>
      </c>
      <c r="E280" s="368">
        <v>-28952.7</v>
      </c>
    </row>
    <row r="281" spans="1:5">
      <c r="A281" s="373">
        <v>219630</v>
      </c>
      <c r="B281" s="373">
        <v>8000</v>
      </c>
      <c r="C281" s="373" t="s">
        <v>721</v>
      </c>
      <c r="D281" s="369" t="s">
        <v>887</v>
      </c>
      <c r="E281" s="368">
        <v>-135616.97</v>
      </c>
    </row>
    <row r="282" spans="1:5">
      <c r="A282" s="373">
        <v>219640</v>
      </c>
      <c r="B282" s="373">
        <v>8000</v>
      </c>
      <c r="C282" s="373" t="s">
        <v>721</v>
      </c>
      <c r="D282" s="369" t="s">
        <v>888</v>
      </c>
      <c r="E282" s="368">
        <v>0</v>
      </c>
    </row>
    <row r="283" spans="1:5">
      <c r="A283" s="373">
        <v>219650</v>
      </c>
      <c r="B283" s="373">
        <v>8000</v>
      </c>
      <c r="C283" s="373" t="s">
        <v>721</v>
      </c>
      <c r="D283" s="369" t="s">
        <v>889</v>
      </c>
      <c r="E283" s="368">
        <v>-326318.33</v>
      </c>
    </row>
    <row r="284" spans="1:5">
      <c r="A284" s="373">
        <v>219650</v>
      </c>
      <c r="B284" s="373">
        <v>8100</v>
      </c>
      <c r="C284" s="373" t="s">
        <v>725</v>
      </c>
      <c r="D284" s="369" t="s">
        <v>889</v>
      </c>
      <c r="E284" s="368">
        <v>0</v>
      </c>
    </row>
    <row r="285" spans="1:5">
      <c r="A285" s="373">
        <v>219660</v>
      </c>
      <c r="B285" s="373">
        <v>8000</v>
      </c>
      <c r="C285" s="373" t="s">
        <v>721</v>
      </c>
      <c r="D285" s="369" t="s">
        <v>890</v>
      </c>
      <c r="E285" s="368">
        <v>-8685855.3900000006</v>
      </c>
    </row>
    <row r="286" spans="1:5">
      <c r="A286" s="373">
        <v>219660</v>
      </c>
      <c r="B286" s="373">
        <v>8100</v>
      </c>
      <c r="C286" s="373" t="s">
        <v>725</v>
      </c>
      <c r="D286" s="369" t="s">
        <v>890</v>
      </c>
      <c r="E286" s="368">
        <v>-1814562.91</v>
      </c>
    </row>
    <row r="287" spans="1:5">
      <c r="A287" s="373">
        <v>219670</v>
      </c>
      <c r="B287" s="373">
        <v>8000</v>
      </c>
      <c r="C287" s="373" t="s">
        <v>721</v>
      </c>
      <c r="D287" s="369" t="s">
        <v>891</v>
      </c>
      <c r="E287" s="368">
        <v>-20702778.100000001</v>
      </c>
    </row>
    <row r="288" spans="1:5">
      <c r="A288" s="373">
        <v>219680</v>
      </c>
      <c r="B288" s="373">
        <v>8000</v>
      </c>
      <c r="C288" s="373" t="s">
        <v>721</v>
      </c>
      <c r="D288" s="369" t="s">
        <v>892</v>
      </c>
      <c r="E288" s="368">
        <v>-2498611.2000000002</v>
      </c>
    </row>
    <row r="289" spans="1:5">
      <c r="A289" s="373">
        <v>219690</v>
      </c>
      <c r="B289" s="373">
        <v>8000</v>
      </c>
      <c r="C289" s="373" t="s">
        <v>721</v>
      </c>
      <c r="D289" s="369" t="s">
        <v>893</v>
      </c>
      <c r="E289" s="368">
        <v>-2181366.1</v>
      </c>
    </row>
    <row r="290" spans="1:5">
      <c r="A290" s="373">
        <v>219701</v>
      </c>
      <c r="B290" s="373">
        <v>8000</v>
      </c>
      <c r="C290" s="373" t="s">
        <v>721</v>
      </c>
      <c r="D290" s="369" t="s">
        <v>894</v>
      </c>
      <c r="E290" s="368">
        <v>0</v>
      </c>
    </row>
    <row r="291" spans="1:5">
      <c r="A291" s="373">
        <v>219701</v>
      </c>
      <c r="B291" s="373">
        <v>8100</v>
      </c>
      <c r="C291" s="373" t="s">
        <v>725</v>
      </c>
      <c r="D291" s="369" t="s">
        <v>894</v>
      </c>
      <c r="E291" s="368">
        <v>0</v>
      </c>
    </row>
    <row r="292" spans="1:5">
      <c r="A292" s="373">
        <v>221020</v>
      </c>
      <c r="B292" s="373">
        <v>8000</v>
      </c>
      <c r="C292" s="373" t="s">
        <v>721</v>
      </c>
      <c r="D292" s="369" t="s">
        <v>895</v>
      </c>
      <c r="E292" s="368">
        <v>0</v>
      </c>
    </row>
    <row r="293" spans="1:5">
      <c r="A293" s="373">
        <v>221020</v>
      </c>
      <c r="B293" s="373">
        <v>8100</v>
      </c>
      <c r="C293" s="373" t="s">
        <v>725</v>
      </c>
      <c r="D293" s="369" t="s">
        <v>895</v>
      </c>
      <c r="E293" s="368">
        <v>0</v>
      </c>
    </row>
    <row r="294" spans="1:5">
      <c r="A294" s="373">
        <v>222010</v>
      </c>
      <c r="B294" s="373">
        <v>8000</v>
      </c>
      <c r="C294" s="373" t="s">
        <v>721</v>
      </c>
      <c r="D294" s="369" t="s">
        <v>896</v>
      </c>
      <c r="E294" s="368">
        <v>0</v>
      </c>
    </row>
    <row r="295" spans="1:5">
      <c r="A295" s="373">
        <v>222010</v>
      </c>
      <c r="B295" s="373">
        <v>8100</v>
      </c>
      <c r="C295" s="373" t="s">
        <v>725</v>
      </c>
      <c r="D295" s="369" t="s">
        <v>896</v>
      </c>
      <c r="E295" s="368">
        <v>0</v>
      </c>
    </row>
    <row r="296" spans="1:5">
      <c r="A296" s="373">
        <v>232010</v>
      </c>
      <c r="B296" s="373">
        <v>8000</v>
      </c>
      <c r="C296" s="373" t="s">
        <v>721</v>
      </c>
      <c r="D296" s="369" t="s">
        <v>897</v>
      </c>
      <c r="E296" s="368">
        <v>0.03</v>
      </c>
    </row>
    <row r="297" spans="1:5">
      <c r="A297" s="373">
        <v>235010</v>
      </c>
      <c r="B297" s="373">
        <v>8000</v>
      </c>
      <c r="C297" s="373" t="s">
        <v>721</v>
      </c>
      <c r="D297" s="369" t="s">
        <v>898</v>
      </c>
      <c r="E297" s="368">
        <v>519792.36</v>
      </c>
    </row>
    <row r="298" spans="1:5">
      <c r="A298" s="373">
        <v>237010</v>
      </c>
      <c r="B298" s="373">
        <v>8000</v>
      </c>
      <c r="C298" s="373" t="s">
        <v>721</v>
      </c>
      <c r="D298" s="369" t="s">
        <v>899</v>
      </c>
      <c r="E298" s="368">
        <v>12687323.619999999</v>
      </c>
    </row>
    <row r="299" spans="1:5">
      <c r="A299" s="373">
        <v>237010</v>
      </c>
      <c r="B299" s="373">
        <v>8100</v>
      </c>
      <c r="C299" s="373" t="s">
        <v>725</v>
      </c>
      <c r="D299" s="369" t="s">
        <v>899</v>
      </c>
      <c r="E299" s="368">
        <v>6479744.6699999999</v>
      </c>
    </row>
    <row r="300" spans="1:5">
      <c r="A300" s="373">
        <v>237040</v>
      </c>
      <c r="B300" s="373">
        <v>8000</v>
      </c>
      <c r="C300" s="373" t="s">
        <v>721</v>
      </c>
      <c r="D300" s="369" t="s">
        <v>900</v>
      </c>
      <c r="E300" s="368">
        <v>8399999.9299999997</v>
      </c>
    </row>
    <row r="301" spans="1:5">
      <c r="A301" s="373">
        <v>240100</v>
      </c>
      <c r="B301" s="373">
        <v>8000</v>
      </c>
      <c r="C301" s="373" t="s">
        <v>721</v>
      </c>
      <c r="D301" s="369" t="s">
        <v>901</v>
      </c>
      <c r="E301" s="368">
        <v>460291550.44999999</v>
      </c>
    </row>
    <row r="302" spans="1:5">
      <c r="A302" s="373">
        <v>240300</v>
      </c>
      <c r="B302" s="373">
        <v>8000</v>
      </c>
      <c r="C302" s="373" t="s">
        <v>721</v>
      </c>
      <c r="D302" s="369" t="s">
        <v>902</v>
      </c>
      <c r="E302" s="368">
        <v>375408449.55000001</v>
      </c>
    </row>
    <row r="303" spans="1:5">
      <c r="A303" s="373">
        <v>250010</v>
      </c>
      <c r="B303" s="373">
        <v>8100</v>
      </c>
      <c r="C303" s="373" t="s">
        <v>725</v>
      </c>
      <c r="D303" s="369" t="s">
        <v>903</v>
      </c>
      <c r="E303" s="368">
        <v>0</v>
      </c>
    </row>
    <row r="304" spans="1:5">
      <c r="A304" s="373">
        <v>250040</v>
      </c>
      <c r="B304" s="373">
        <v>8100</v>
      </c>
      <c r="C304" s="373" t="s">
        <v>725</v>
      </c>
      <c r="D304" s="369" t="s">
        <v>904</v>
      </c>
      <c r="E304" s="368">
        <v>0</v>
      </c>
    </row>
    <row r="305" spans="1:5">
      <c r="A305" s="373">
        <v>250050</v>
      </c>
      <c r="B305" s="373">
        <v>8000</v>
      </c>
      <c r="C305" s="373" t="s">
        <v>721</v>
      </c>
      <c r="D305" s="369" t="s">
        <v>905</v>
      </c>
      <c r="E305" s="368">
        <v>0</v>
      </c>
    </row>
    <row r="306" spans="1:5">
      <c r="A306" s="373">
        <v>250050</v>
      </c>
      <c r="B306" s="373">
        <v>8100</v>
      </c>
      <c r="C306" s="373" t="s">
        <v>725</v>
      </c>
      <c r="D306" s="369" t="s">
        <v>905</v>
      </c>
      <c r="E306" s="368">
        <v>0</v>
      </c>
    </row>
    <row r="307" spans="1:5">
      <c r="A307" s="373">
        <v>250080</v>
      </c>
      <c r="B307" s="373">
        <v>8100</v>
      </c>
      <c r="C307" s="373" t="s">
        <v>725</v>
      </c>
      <c r="D307" s="369" t="s">
        <v>906</v>
      </c>
      <c r="E307" s="368">
        <v>0</v>
      </c>
    </row>
    <row r="308" spans="1:5">
      <c r="A308" s="373">
        <v>250090</v>
      </c>
      <c r="B308" s="373">
        <v>8000</v>
      </c>
      <c r="C308" s="373" t="s">
        <v>721</v>
      </c>
      <c r="D308" s="369" t="s">
        <v>533</v>
      </c>
      <c r="E308" s="368">
        <v>0</v>
      </c>
    </row>
    <row r="309" spans="1:5">
      <c r="A309" s="373">
        <v>250090</v>
      </c>
      <c r="B309" s="373">
        <v>8100</v>
      </c>
      <c r="C309" s="373" t="s">
        <v>725</v>
      </c>
      <c r="D309" s="369" t="s">
        <v>533</v>
      </c>
      <c r="E309" s="368">
        <v>0</v>
      </c>
    </row>
    <row r="310" spans="1:5">
      <c r="A310" s="373">
        <v>260030</v>
      </c>
      <c r="B310" s="373">
        <v>8000</v>
      </c>
      <c r="C310" s="373" t="s">
        <v>721</v>
      </c>
      <c r="D310" s="369" t="s">
        <v>907</v>
      </c>
      <c r="E310" s="368">
        <v>0</v>
      </c>
    </row>
    <row r="311" spans="1:5">
      <c r="A311" s="373">
        <v>260031</v>
      </c>
      <c r="B311" s="373">
        <v>8000</v>
      </c>
      <c r="C311" s="373" t="s">
        <v>721</v>
      </c>
      <c r="D311" s="369" t="s">
        <v>907</v>
      </c>
      <c r="E311" s="368">
        <v>212497496.80000001</v>
      </c>
    </row>
    <row r="312" spans="1:5">
      <c r="A312" s="373">
        <v>260040</v>
      </c>
      <c r="B312" s="373">
        <v>8000</v>
      </c>
      <c r="C312" s="373" t="s">
        <v>721</v>
      </c>
      <c r="D312" s="369" t="s">
        <v>908</v>
      </c>
      <c r="E312" s="368">
        <v>7708816.4400000004</v>
      </c>
    </row>
    <row r="313" spans="1:5">
      <c r="A313" s="373">
        <v>260040</v>
      </c>
      <c r="B313" s="373">
        <v>8100</v>
      </c>
      <c r="C313" s="373" t="s">
        <v>725</v>
      </c>
      <c r="D313" s="369" t="s">
        <v>908</v>
      </c>
      <c r="E313" s="368">
        <v>0</v>
      </c>
    </row>
    <row r="314" spans="1:5">
      <c r="A314" s="373">
        <v>260050</v>
      </c>
      <c r="B314" s="373">
        <v>8000</v>
      </c>
      <c r="C314" s="373" t="s">
        <v>721</v>
      </c>
      <c r="D314" s="369" t="s">
        <v>909</v>
      </c>
      <c r="E314" s="368">
        <v>0</v>
      </c>
    </row>
    <row r="315" spans="1:5">
      <c r="A315" s="373">
        <v>269010</v>
      </c>
      <c r="B315" s="373">
        <v>8000</v>
      </c>
      <c r="C315" s="373" t="s">
        <v>721</v>
      </c>
      <c r="D315" s="369" t="s">
        <v>910</v>
      </c>
      <c r="E315" s="368">
        <v>1930</v>
      </c>
    </row>
    <row r="316" spans="1:5">
      <c r="A316" s="373">
        <v>270126</v>
      </c>
      <c r="B316" s="373">
        <v>8000</v>
      </c>
      <c r="C316" s="373" t="s">
        <v>721</v>
      </c>
      <c r="D316" s="369" t="s">
        <v>911</v>
      </c>
      <c r="E316" s="368">
        <v>9696</v>
      </c>
    </row>
    <row r="317" spans="1:5">
      <c r="A317" s="373">
        <v>270127</v>
      </c>
      <c r="B317" s="373">
        <v>8100</v>
      </c>
      <c r="C317" s="373" t="s">
        <v>725</v>
      </c>
      <c r="D317" s="369" t="s">
        <v>912</v>
      </c>
      <c r="E317" s="368">
        <v>9086</v>
      </c>
    </row>
    <row r="318" spans="1:5">
      <c r="A318" s="373">
        <v>280039</v>
      </c>
      <c r="B318" s="373">
        <v>8000</v>
      </c>
      <c r="C318" s="373" t="s">
        <v>721</v>
      </c>
      <c r="D318" s="369" t="s">
        <v>913</v>
      </c>
      <c r="E318" s="368">
        <v>-6318171.7400000002</v>
      </c>
    </row>
    <row r="319" spans="1:5">
      <c r="A319" s="373">
        <v>280039</v>
      </c>
      <c r="B319" s="373">
        <v>8000</v>
      </c>
      <c r="C319" s="373" t="s">
        <v>721</v>
      </c>
      <c r="D319" s="369" t="s">
        <v>913</v>
      </c>
      <c r="E319" s="368">
        <v>106385</v>
      </c>
    </row>
    <row r="320" spans="1:5">
      <c r="A320" s="373">
        <v>280072</v>
      </c>
      <c r="B320" s="373">
        <v>8100</v>
      </c>
      <c r="C320" s="373" t="s">
        <v>725</v>
      </c>
      <c r="D320" s="369" t="s">
        <v>914</v>
      </c>
      <c r="E320" s="368">
        <v>0</v>
      </c>
    </row>
    <row r="321" spans="1:5">
      <c r="A321" s="373">
        <v>280128</v>
      </c>
      <c r="B321" s="373">
        <v>8000</v>
      </c>
      <c r="C321" s="373" t="s">
        <v>721</v>
      </c>
      <c r="D321" s="369" t="s">
        <v>915</v>
      </c>
      <c r="E321" s="368">
        <v>4996272.12</v>
      </c>
    </row>
    <row r="322" spans="1:5">
      <c r="A322" s="373">
        <v>280128</v>
      </c>
      <c r="B322" s="373">
        <v>8000</v>
      </c>
      <c r="C322" s="373" t="s">
        <v>721</v>
      </c>
      <c r="D322" s="369" t="s">
        <v>915</v>
      </c>
      <c r="E322" s="368">
        <v>-2074047.32</v>
      </c>
    </row>
    <row r="323" spans="1:5">
      <c r="A323" s="373">
        <v>280128</v>
      </c>
      <c r="B323" s="373">
        <v>8100</v>
      </c>
      <c r="C323" s="373" t="s">
        <v>725</v>
      </c>
      <c r="D323" s="369" t="s">
        <v>915</v>
      </c>
      <c r="E323" s="368">
        <v>0</v>
      </c>
    </row>
    <row r="324" spans="1:5">
      <c r="A324" s="373">
        <v>280134</v>
      </c>
      <c r="B324" s="373">
        <v>8000</v>
      </c>
      <c r="C324" s="373" t="s">
        <v>721</v>
      </c>
      <c r="D324" s="369" t="s">
        <v>916</v>
      </c>
      <c r="E324" s="368">
        <v>69431.12</v>
      </c>
    </row>
    <row r="325" spans="1:5">
      <c r="A325" s="373">
        <v>285039</v>
      </c>
      <c r="B325" s="373">
        <v>8000</v>
      </c>
      <c r="C325" s="373" t="s">
        <v>721</v>
      </c>
      <c r="D325" s="369" t="s">
        <v>917</v>
      </c>
      <c r="E325" s="368">
        <v>134371927.46000001</v>
      </c>
    </row>
    <row r="326" spans="1:5">
      <c r="A326" s="373">
        <v>285039</v>
      </c>
      <c r="B326" s="373">
        <v>8000</v>
      </c>
      <c r="C326" s="373" t="s">
        <v>721</v>
      </c>
      <c r="D326" s="369" t="s">
        <v>917</v>
      </c>
      <c r="E326" s="368">
        <v>-133552376.78</v>
      </c>
    </row>
    <row r="327" spans="1:5">
      <c r="A327" s="373">
        <v>285072</v>
      </c>
      <c r="B327" s="373">
        <v>8100</v>
      </c>
      <c r="C327" s="373" t="s">
        <v>725</v>
      </c>
      <c r="D327" s="369" t="s">
        <v>918</v>
      </c>
      <c r="E327" s="368">
        <v>81878054.75</v>
      </c>
    </row>
    <row r="328" spans="1:5">
      <c r="A328" s="373">
        <v>285072</v>
      </c>
      <c r="B328" s="373">
        <v>8100</v>
      </c>
      <c r="C328" s="373" t="s">
        <v>725</v>
      </c>
      <c r="D328" s="369" t="s">
        <v>918</v>
      </c>
      <c r="E328" s="368">
        <v>-81711941.75</v>
      </c>
    </row>
    <row r="329" spans="1:5">
      <c r="A329" s="373">
        <v>285251</v>
      </c>
      <c r="B329" s="373">
        <v>8000</v>
      </c>
      <c r="C329" s="373" t="s">
        <v>721</v>
      </c>
      <c r="D329" s="369" t="s">
        <v>919</v>
      </c>
      <c r="E329" s="368">
        <v>2085959.88</v>
      </c>
    </row>
    <row r="330" spans="1:5">
      <c r="A330" s="373">
        <v>285310</v>
      </c>
      <c r="B330" s="373">
        <v>8000</v>
      </c>
      <c r="C330" s="373" t="s">
        <v>721</v>
      </c>
      <c r="D330" s="369" t="s">
        <v>920</v>
      </c>
      <c r="E330" s="368">
        <v>677647159.72000003</v>
      </c>
    </row>
    <row r="331" spans="1:5">
      <c r="A331" s="373">
        <v>285320</v>
      </c>
      <c r="B331" s="373">
        <v>8000</v>
      </c>
      <c r="C331" s="373" t="s">
        <v>721</v>
      </c>
      <c r="D331" s="369" t="s">
        <v>921</v>
      </c>
      <c r="E331" s="368">
        <v>391930980.83999997</v>
      </c>
    </row>
    <row r="332" spans="1:5">
      <c r="A332" s="373">
        <v>285330</v>
      </c>
      <c r="B332" s="373">
        <v>8000</v>
      </c>
      <c r="C332" s="373" t="s">
        <v>721</v>
      </c>
      <c r="D332" s="369" t="s">
        <v>922</v>
      </c>
      <c r="E332" s="368">
        <v>701633871.89999998</v>
      </c>
    </row>
    <row r="333" spans="1:5">
      <c r="A333" s="373">
        <v>285340</v>
      </c>
      <c r="B333" s="373">
        <v>8000</v>
      </c>
      <c r="C333" s="373" t="s">
        <v>721</v>
      </c>
      <c r="D333" s="369" t="s">
        <v>923</v>
      </c>
      <c r="E333" s="368">
        <v>482748.38</v>
      </c>
    </row>
    <row r="334" spans="1:5">
      <c r="A334" s="373">
        <v>285350</v>
      </c>
      <c r="B334" s="373">
        <v>8000</v>
      </c>
      <c r="C334" s="373" t="s">
        <v>721</v>
      </c>
      <c r="D334" s="369" t="s">
        <v>804</v>
      </c>
      <c r="E334" s="368">
        <v>354915228.56</v>
      </c>
    </row>
    <row r="335" spans="1:5">
      <c r="A335" s="373">
        <v>285360</v>
      </c>
      <c r="B335" s="373">
        <v>8000</v>
      </c>
      <c r="C335" s="373" t="s">
        <v>721</v>
      </c>
      <c r="D335" s="369" t="s">
        <v>924</v>
      </c>
      <c r="E335" s="368">
        <v>10585867</v>
      </c>
    </row>
    <row r="336" spans="1:5">
      <c r="A336" s="373">
        <v>285364</v>
      </c>
      <c r="B336" s="373">
        <v>8000</v>
      </c>
      <c r="C336" s="373" t="s">
        <v>721</v>
      </c>
      <c r="D336" s="369" t="s">
        <v>925</v>
      </c>
      <c r="E336" s="368">
        <v>0</v>
      </c>
    </row>
    <row r="337" spans="1:5">
      <c r="A337" s="373">
        <v>285365</v>
      </c>
      <c r="B337" s="373">
        <v>8000</v>
      </c>
      <c r="C337" s="373" t="s">
        <v>721</v>
      </c>
      <c r="D337" s="369" t="s">
        <v>926</v>
      </c>
      <c r="E337" s="368">
        <v>139760.48000000001</v>
      </c>
    </row>
    <row r="338" spans="1:5">
      <c r="A338" s="373">
        <v>290010</v>
      </c>
      <c r="B338" s="373">
        <v>8000</v>
      </c>
      <c r="C338" s="373" t="s">
        <v>721</v>
      </c>
      <c r="D338" s="369" t="s">
        <v>927</v>
      </c>
      <c r="E338" s="368">
        <v>0.48</v>
      </c>
    </row>
    <row r="339" spans="1:5">
      <c r="A339" s="373">
        <v>291010</v>
      </c>
      <c r="B339" s="373">
        <v>8000</v>
      </c>
      <c r="C339" s="373" t="s">
        <v>721</v>
      </c>
      <c r="D339" s="369" t="s">
        <v>928</v>
      </c>
      <c r="E339" s="368">
        <v>0</v>
      </c>
    </row>
    <row r="340" spans="1:5">
      <c r="A340" s="373">
        <v>291010</v>
      </c>
      <c r="B340" s="373">
        <v>8100</v>
      </c>
      <c r="C340" s="373" t="s">
        <v>725</v>
      </c>
      <c r="D340" s="369" t="s">
        <v>928</v>
      </c>
      <c r="E340" s="368">
        <v>0</v>
      </c>
    </row>
    <row r="341" spans="1:5">
      <c r="A341" s="373">
        <v>291020</v>
      </c>
      <c r="B341" s="373">
        <v>8000</v>
      </c>
      <c r="C341" s="373" t="s">
        <v>721</v>
      </c>
      <c r="D341" s="369" t="s">
        <v>929</v>
      </c>
      <c r="E341" s="368">
        <v>0</v>
      </c>
    </row>
    <row r="342" spans="1:5">
      <c r="A342" s="373">
        <v>291020</v>
      </c>
      <c r="B342" s="373">
        <v>8100</v>
      </c>
      <c r="C342" s="373" t="s">
        <v>725</v>
      </c>
      <c r="D342" s="369" t="s">
        <v>929</v>
      </c>
      <c r="E342" s="368">
        <v>0</v>
      </c>
    </row>
    <row r="343" spans="1:5">
      <c r="A343" s="373">
        <v>291030</v>
      </c>
      <c r="B343" s="373">
        <v>8000</v>
      </c>
      <c r="C343" s="373" t="s">
        <v>721</v>
      </c>
      <c r="D343" s="369" t="s">
        <v>930</v>
      </c>
      <c r="E343" s="368">
        <v>36</v>
      </c>
    </row>
    <row r="344" spans="1:5">
      <c r="A344" s="373">
        <v>291030</v>
      </c>
      <c r="B344" s="373">
        <v>8000</v>
      </c>
      <c r="C344" s="373" t="s">
        <v>721</v>
      </c>
      <c r="D344" s="369" t="s">
        <v>930</v>
      </c>
      <c r="E344" s="368">
        <v>-36</v>
      </c>
    </row>
    <row r="345" spans="1:5">
      <c r="A345" s="373">
        <v>291030</v>
      </c>
      <c r="B345" s="373">
        <v>8100</v>
      </c>
      <c r="C345" s="373" t="s">
        <v>725</v>
      </c>
      <c r="D345" s="369" t="s">
        <v>930</v>
      </c>
      <c r="E345" s="368">
        <v>0</v>
      </c>
    </row>
    <row r="346" spans="1:5">
      <c r="A346" s="373">
        <v>292010</v>
      </c>
      <c r="B346" s="373">
        <v>8000</v>
      </c>
      <c r="C346" s="373" t="s">
        <v>721</v>
      </c>
      <c r="D346" s="369" t="s">
        <v>931</v>
      </c>
      <c r="E346" s="368">
        <v>0</v>
      </c>
    </row>
    <row r="347" spans="1:5">
      <c r="A347" s="373">
        <v>292020</v>
      </c>
      <c r="B347" s="373">
        <v>8000</v>
      </c>
      <c r="C347" s="373" t="s">
        <v>721</v>
      </c>
      <c r="D347" s="369" t="s">
        <v>932</v>
      </c>
      <c r="E347" s="368">
        <v>0</v>
      </c>
    </row>
    <row r="348" spans="1:5">
      <c r="A348" s="373">
        <v>292020</v>
      </c>
      <c r="B348" s="373">
        <v>8100</v>
      </c>
      <c r="C348" s="373" t="s">
        <v>725</v>
      </c>
      <c r="D348" s="369" t="s">
        <v>932</v>
      </c>
      <c r="E348" s="368">
        <v>0</v>
      </c>
    </row>
    <row r="349" spans="1:5">
      <c r="A349" s="373">
        <v>292030</v>
      </c>
      <c r="B349" s="373">
        <v>8000</v>
      </c>
      <c r="C349" s="373" t="s">
        <v>721</v>
      </c>
      <c r="D349" s="369" t="s">
        <v>933</v>
      </c>
      <c r="E349" s="368">
        <v>0</v>
      </c>
    </row>
    <row r="350" spans="1:5">
      <c r="A350" s="373">
        <v>292030</v>
      </c>
      <c r="B350" s="373">
        <v>8100</v>
      </c>
      <c r="C350" s="373" t="s">
        <v>725</v>
      </c>
      <c r="D350" s="369" t="s">
        <v>933</v>
      </c>
      <c r="E350" s="368">
        <v>0</v>
      </c>
    </row>
    <row r="351" spans="1:5">
      <c r="A351" s="373">
        <v>292050</v>
      </c>
      <c r="B351" s="373">
        <v>8000</v>
      </c>
      <c r="C351" s="373" t="s">
        <v>721</v>
      </c>
      <c r="D351" s="369" t="s">
        <v>934</v>
      </c>
      <c r="E351" s="368">
        <v>62500</v>
      </c>
    </row>
    <row r="352" spans="1:5">
      <c r="A352" s="373">
        <v>292050</v>
      </c>
      <c r="B352" s="373">
        <v>8000</v>
      </c>
      <c r="C352" s="373" t="s">
        <v>721</v>
      </c>
      <c r="D352" s="369" t="s">
        <v>934</v>
      </c>
      <c r="E352" s="368">
        <v>-4000</v>
      </c>
    </row>
    <row r="353" spans="1:5">
      <c r="A353" s="373">
        <v>292050</v>
      </c>
      <c r="B353" s="373">
        <v>8100</v>
      </c>
      <c r="C353" s="373" t="s">
        <v>725</v>
      </c>
      <c r="D353" s="369" t="s">
        <v>934</v>
      </c>
      <c r="E353" s="368">
        <v>66500</v>
      </c>
    </row>
    <row r="354" spans="1:5">
      <c r="A354" s="373">
        <v>292060</v>
      </c>
      <c r="B354" s="373">
        <v>8000</v>
      </c>
      <c r="C354" s="373" t="s">
        <v>721</v>
      </c>
      <c r="D354" s="369" t="s">
        <v>935</v>
      </c>
      <c r="E354" s="368">
        <v>0</v>
      </c>
    </row>
    <row r="355" spans="1:5">
      <c r="A355" s="373">
        <v>292060</v>
      </c>
      <c r="B355" s="373">
        <v>8100</v>
      </c>
      <c r="C355" s="373" t="s">
        <v>725</v>
      </c>
      <c r="D355" s="369" t="s">
        <v>935</v>
      </c>
      <c r="E355" s="368">
        <v>0</v>
      </c>
    </row>
    <row r="356" spans="1:5">
      <c r="A356" s="373">
        <v>292070</v>
      </c>
      <c r="B356" s="373">
        <v>8000</v>
      </c>
      <c r="C356" s="373" t="s">
        <v>721</v>
      </c>
      <c r="D356" s="369" t="s">
        <v>936</v>
      </c>
      <c r="E356" s="368">
        <v>27918</v>
      </c>
    </row>
    <row r="357" spans="1:5">
      <c r="A357" s="373">
        <v>292070</v>
      </c>
      <c r="B357" s="373">
        <v>8000</v>
      </c>
      <c r="C357" s="373" t="s">
        <v>721</v>
      </c>
      <c r="D357" s="369" t="s">
        <v>936</v>
      </c>
      <c r="E357" s="368">
        <v>-27918</v>
      </c>
    </row>
    <row r="358" spans="1:5">
      <c r="A358" s="373">
        <v>292070</v>
      </c>
      <c r="B358" s="373">
        <v>8100</v>
      </c>
      <c r="C358" s="373" t="s">
        <v>725</v>
      </c>
      <c r="D358" s="369" t="s">
        <v>936</v>
      </c>
      <c r="E358" s="368">
        <v>0</v>
      </c>
    </row>
    <row r="359" spans="1:5">
      <c r="A359" s="373">
        <v>292080</v>
      </c>
      <c r="B359" s="373">
        <v>8000</v>
      </c>
      <c r="C359" s="373" t="s">
        <v>721</v>
      </c>
      <c r="D359" s="369" t="s">
        <v>937</v>
      </c>
      <c r="E359" s="368">
        <v>7500</v>
      </c>
    </row>
    <row r="360" spans="1:5">
      <c r="A360" s="373">
        <v>292080</v>
      </c>
      <c r="B360" s="373">
        <v>8100</v>
      </c>
      <c r="C360" s="373" t="s">
        <v>725</v>
      </c>
      <c r="D360" s="369" t="s">
        <v>937</v>
      </c>
      <c r="E360" s="368">
        <v>17500</v>
      </c>
    </row>
    <row r="361" spans="1:5">
      <c r="A361" s="373">
        <v>292110</v>
      </c>
      <c r="B361" s="373">
        <v>8000</v>
      </c>
      <c r="C361" s="373" t="s">
        <v>721</v>
      </c>
      <c r="D361" s="369" t="s">
        <v>938</v>
      </c>
      <c r="E361" s="368">
        <v>22500</v>
      </c>
    </row>
    <row r="362" spans="1:5">
      <c r="A362" s="373">
        <v>292110</v>
      </c>
      <c r="B362" s="373">
        <v>8100</v>
      </c>
      <c r="C362" s="373" t="s">
        <v>725</v>
      </c>
      <c r="D362" s="369" t="s">
        <v>938</v>
      </c>
      <c r="E362" s="368">
        <v>0</v>
      </c>
    </row>
    <row r="363" spans="1:5">
      <c r="A363" s="373">
        <v>293010</v>
      </c>
      <c r="B363" s="373">
        <v>8000</v>
      </c>
      <c r="C363" s="373" t="s">
        <v>721</v>
      </c>
      <c r="D363" s="369" t="s">
        <v>939</v>
      </c>
      <c r="E363" s="368">
        <v>0</v>
      </c>
    </row>
    <row r="364" spans="1:5">
      <c r="A364" s="373">
        <v>293013</v>
      </c>
      <c r="B364" s="373">
        <v>8000</v>
      </c>
      <c r="C364" s="373" t="s">
        <v>721</v>
      </c>
      <c r="D364" s="369" t="s">
        <v>940</v>
      </c>
      <c r="E364" s="368">
        <v>444</v>
      </c>
    </row>
    <row r="365" spans="1:5">
      <c r="A365" s="373">
        <v>293040</v>
      </c>
      <c r="B365" s="373">
        <v>8000</v>
      </c>
      <c r="C365" s="373" t="s">
        <v>721</v>
      </c>
      <c r="D365" s="369" t="s">
        <v>941</v>
      </c>
      <c r="E365" s="368">
        <v>0</v>
      </c>
    </row>
    <row r="366" spans="1:5">
      <c r="A366" s="373">
        <v>293070</v>
      </c>
      <c r="B366" s="373">
        <v>8000</v>
      </c>
      <c r="C366" s="373" t="s">
        <v>721</v>
      </c>
      <c r="D366" s="369" t="s">
        <v>942</v>
      </c>
      <c r="E366" s="368">
        <v>0</v>
      </c>
    </row>
    <row r="367" spans="1:5">
      <c r="A367" s="373">
        <v>294010</v>
      </c>
      <c r="B367" s="373">
        <v>8000</v>
      </c>
      <c r="C367" s="373" t="s">
        <v>721</v>
      </c>
      <c r="D367" s="369" t="s">
        <v>943</v>
      </c>
      <c r="E367" s="368">
        <v>27232710</v>
      </c>
    </row>
    <row r="368" spans="1:5">
      <c r="A368" s="373">
        <v>294020</v>
      </c>
      <c r="B368" s="373">
        <v>8000</v>
      </c>
      <c r="C368" s="373" t="s">
        <v>721</v>
      </c>
      <c r="D368" s="369" t="s">
        <v>944</v>
      </c>
      <c r="E368" s="368">
        <v>0</v>
      </c>
    </row>
    <row r="369" spans="1:5">
      <c r="A369" s="373">
        <v>294020</v>
      </c>
      <c r="B369" s="373">
        <v>8100</v>
      </c>
      <c r="C369" s="373" t="s">
        <v>725</v>
      </c>
      <c r="D369" s="369" t="s">
        <v>944</v>
      </c>
      <c r="E369" s="368">
        <v>0</v>
      </c>
    </row>
    <row r="370" spans="1:5">
      <c r="A370" s="373">
        <v>294030</v>
      </c>
      <c r="B370" s="373">
        <v>8000</v>
      </c>
      <c r="C370" s="373" t="s">
        <v>721</v>
      </c>
      <c r="D370" s="369" t="s">
        <v>945</v>
      </c>
      <c r="E370" s="368">
        <v>171208</v>
      </c>
    </row>
    <row r="371" spans="1:5">
      <c r="A371" s="373">
        <v>294030</v>
      </c>
      <c r="B371" s="373">
        <v>8100</v>
      </c>
      <c r="C371" s="373" t="s">
        <v>725</v>
      </c>
      <c r="D371" s="369" t="s">
        <v>945</v>
      </c>
      <c r="E371" s="368">
        <v>21850</v>
      </c>
    </row>
    <row r="372" spans="1:5">
      <c r="A372" s="373">
        <v>295010</v>
      </c>
      <c r="B372" s="373">
        <v>8000</v>
      </c>
      <c r="C372" s="373" t="s">
        <v>721</v>
      </c>
      <c r="D372" s="369" t="s">
        <v>946</v>
      </c>
      <c r="E372" s="368">
        <v>7</v>
      </c>
    </row>
    <row r="373" spans="1:5">
      <c r="A373" s="373">
        <v>295010</v>
      </c>
      <c r="B373" s="373">
        <v>8100</v>
      </c>
      <c r="C373" s="373" t="s">
        <v>725</v>
      </c>
      <c r="D373" s="369" t="s">
        <v>946</v>
      </c>
      <c r="E373" s="368">
        <v>0.08</v>
      </c>
    </row>
    <row r="374" spans="1:5">
      <c r="A374" s="373">
        <v>296060</v>
      </c>
      <c r="B374" s="373">
        <v>8000</v>
      </c>
      <c r="C374" s="373" t="s">
        <v>721</v>
      </c>
      <c r="D374" s="369" t="s">
        <v>947</v>
      </c>
      <c r="E374" s="368">
        <v>11950</v>
      </c>
    </row>
    <row r="375" spans="1:5">
      <c r="A375" s="373">
        <v>296070</v>
      </c>
      <c r="B375" s="373">
        <v>8000</v>
      </c>
      <c r="C375" s="373" t="s">
        <v>721</v>
      </c>
      <c r="D375" s="369" t="s">
        <v>948</v>
      </c>
      <c r="E375" s="368">
        <v>348184</v>
      </c>
    </row>
    <row r="376" spans="1:5">
      <c r="A376" s="373">
        <v>296070</v>
      </c>
      <c r="B376" s="373">
        <v>8100</v>
      </c>
      <c r="C376" s="373" t="s">
        <v>725</v>
      </c>
      <c r="D376" s="369" t="s">
        <v>948</v>
      </c>
      <c r="E376" s="368">
        <v>27930</v>
      </c>
    </row>
    <row r="377" spans="1:5">
      <c r="A377" s="373">
        <v>297010</v>
      </c>
      <c r="B377" s="373">
        <v>8000</v>
      </c>
      <c r="C377" s="373" t="s">
        <v>721</v>
      </c>
      <c r="D377" s="369" t="s">
        <v>949</v>
      </c>
      <c r="E377" s="368">
        <v>108500</v>
      </c>
    </row>
    <row r="378" spans="1:5">
      <c r="A378" s="373">
        <v>297020</v>
      </c>
      <c r="B378" s="373">
        <v>8000</v>
      </c>
      <c r="C378" s="373" t="s">
        <v>721</v>
      </c>
      <c r="D378" s="369" t="s">
        <v>950</v>
      </c>
      <c r="E378" s="368">
        <v>3440668</v>
      </c>
    </row>
    <row r="379" spans="1:5">
      <c r="A379" s="373">
        <v>297020</v>
      </c>
      <c r="B379" s="373">
        <v>8100</v>
      </c>
      <c r="C379" s="373" t="s">
        <v>725</v>
      </c>
      <c r="D379" s="369" t="s">
        <v>950</v>
      </c>
      <c r="E379" s="368">
        <v>901365</v>
      </c>
    </row>
    <row r="380" spans="1:5">
      <c r="A380" s="373">
        <v>299010</v>
      </c>
      <c r="B380" s="373">
        <v>8000</v>
      </c>
      <c r="C380" s="373" t="s">
        <v>721</v>
      </c>
      <c r="D380" s="369" t="s">
        <v>951</v>
      </c>
      <c r="E380" s="368">
        <v>338330590.43000001</v>
      </c>
    </row>
    <row r="381" spans="1:5">
      <c r="A381" s="373">
        <v>299010</v>
      </c>
      <c r="B381" s="373">
        <v>8100</v>
      </c>
      <c r="C381" s="373" t="s">
        <v>725</v>
      </c>
      <c r="D381" s="369" t="s">
        <v>951</v>
      </c>
      <c r="E381" s="368">
        <v>-821881068.47000003</v>
      </c>
    </row>
    <row r="382" spans="1:5">
      <c r="A382" s="373">
        <v>300040</v>
      </c>
      <c r="B382" s="373">
        <v>8000</v>
      </c>
      <c r="C382" s="373" t="s">
        <v>721</v>
      </c>
      <c r="D382" s="369" t="s">
        <v>952</v>
      </c>
      <c r="E382" s="392">
        <v>-126235984.87</v>
      </c>
    </row>
    <row r="383" spans="1:5">
      <c r="A383" s="373">
        <v>300051</v>
      </c>
      <c r="B383" s="373">
        <v>8000</v>
      </c>
      <c r="C383" s="373" t="s">
        <v>721</v>
      </c>
      <c r="D383" s="369" t="s">
        <v>953</v>
      </c>
      <c r="E383" s="392">
        <v>-2718384</v>
      </c>
    </row>
    <row r="384" spans="1:5">
      <c r="A384" s="373">
        <v>300052</v>
      </c>
      <c r="B384" s="373">
        <v>8000</v>
      </c>
      <c r="C384" s="373" t="s">
        <v>721</v>
      </c>
      <c r="D384" s="369" t="s">
        <v>954</v>
      </c>
      <c r="E384" s="392">
        <v>-1360000</v>
      </c>
    </row>
    <row r="385" spans="1:5">
      <c r="A385" s="373">
        <v>300060</v>
      </c>
      <c r="B385" s="373">
        <v>8000</v>
      </c>
      <c r="C385" s="373" t="s">
        <v>721</v>
      </c>
      <c r="D385" s="369" t="s">
        <v>955</v>
      </c>
      <c r="E385" s="392">
        <v>-345970990</v>
      </c>
    </row>
    <row r="386" spans="1:5">
      <c r="A386" s="373">
        <v>300070</v>
      </c>
      <c r="B386" s="373">
        <v>8000</v>
      </c>
      <c r="C386" s="373" t="s">
        <v>721</v>
      </c>
      <c r="D386" s="369" t="s">
        <v>956</v>
      </c>
      <c r="E386" s="392">
        <v>-227922627</v>
      </c>
    </row>
    <row r="387" spans="1:5">
      <c r="A387" s="373">
        <v>310010</v>
      </c>
      <c r="B387" s="373">
        <v>8000</v>
      </c>
      <c r="C387" s="373" t="s">
        <v>721</v>
      </c>
      <c r="D387" s="369" t="s">
        <v>957</v>
      </c>
      <c r="E387" s="392">
        <v>-6734</v>
      </c>
    </row>
    <row r="388" spans="1:5">
      <c r="A388" s="373">
        <v>310010</v>
      </c>
      <c r="B388" s="373">
        <v>8100</v>
      </c>
      <c r="C388" s="373" t="s">
        <v>725</v>
      </c>
      <c r="D388" s="369" t="s">
        <v>957</v>
      </c>
      <c r="E388" s="392">
        <v>-5363</v>
      </c>
    </row>
    <row r="389" spans="1:5">
      <c r="A389" s="373">
        <v>310020</v>
      </c>
      <c r="B389" s="373">
        <v>8000</v>
      </c>
      <c r="C389" s="373" t="s">
        <v>721</v>
      </c>
      <c r="D389" s="369" t="s">
        <v>958</v>
      </c>
      <c r="E389" s="392">
        <v>-35143742.140000001</v>
      </c>
    </row>
    <row r="390" spans="1:5">
      <c r="A390" s="373">
        <v>320030</v>
      </c>
      <c r="B390" s="373">
        <v>8000</v>
      </c>
      <c r="C390" s="373" t="s">
        <v>721</v>
      </c>
      <c r="D390" s="369" t="s">
        <v>959</v>
      </c>
      <c r="E390" s="392">
        <v>-1086037.8899999999</v>
      </c>
    </row>
    <row r="391" spans="1:5">
      <c r="A391" s="373">
        <v>325010</v>
      </c>
      <c r="B391" s="373">
        <v>8000</v>
      </c>
      <c r="C391" s="373" t="s">
        <v>721</v>
      </c>
      <c r="D391" s="369" t="s">
        <v>960</v>
      </c>
      <c r="E391" s="392">
        <v>-12070.92</v>
      </c>
    </row>
    <row r="392" spans="1:5">
      <c r="A392" s="373">
        <v>325010</v>
      </c>
      <c r="B392" s="373">
        <v>8100</v>
      </c>
      <c r="C392" s="373" t="s">
        <v>725</v>
      </c>
      <c r="D392" s="369" t="s">
        <v>960</v>
      </c>
      <c r="E392" s="392">
        <v>-695</v>
      </c>
    </row>
    <row r="393" spans="1:5">
      <c r="A393" s="373">
        <v>330010</v>
      </c>
      <c r="B393" s="373">
        <v>8000</v>
      </c>
      <c r="C393" s="373" t="s">
        <v>721</v>
      </c>
      <c r="D393" s="369" t="s">
        <v>961</v>
      </c>
      <c r="E393" s="392">
        <v>-960094.92</v>
      </c>
    </row>
    <row r="394" spans="1:5">
      <c r="A394" s="373">
        <v>330010</v>
      </c>
      <c r="B394" s="373">
        <v>8100</v>
      </c>
      <c r="C394" s="373" t="s">
        <v>725</v>
      </c>
      <c r="D394" s="369" t="s">
        <v>961</v>
      </c>
      <c r="E394" s="392">
        <v>-183000.84</v>
      </c>
    </row>
    <row r="395" spans="1:5">
      <c r="A395" s="373">
        <v>340010</v>
      </c>
      <c r="B395" s="373">
        <v>8000</v>
      </c>
      <c r="C395" s="373" t="s">
        <v>721</v>
      </c>
      <c r="D395" s="369" t="s">
        <v>962</v>
      </c>
      <c r="E395" s="392">
        <v>-24600</v>
      </c>
    </row>
    <row r="396" spans="1:5">
      <c r="A396" s="373">
        <v>340010</v>
      </c>
      <c r="B396" s="373">
        <v>8100</v>
      </c>
      <c r="C396" s="373" t="s">
        <v>725</v>
      </c>
      <c r="D396" s="369" t="s">
        <v>962</v>
      </c>
      <c r="E396" s="392">
        <v>-16000</v>
      </c>
    </row>
    <row r="397" spans="1:5">
      <c r="A397" s="373">
        <v>350010</v>
      </c>
      <c r="B397" s="373">
        <v>8000</v>
      </c>
      <c r="C397" s="373" t="s">
        <v>721</v>
      </c>
      <c r="D397" s="369" t="s">
        <v>963</v>
      </c>
      <c r="E397" s="392">
        <v>0</v>
      </c>
    </row>
    <row r="398" spans="1:5">
      <c r="A398" s="373">
        <v>380040</v>
      </c>
      <c r="B398" s="373">
        <v>8000</v>
      </c>
      <c r="C398" s="373" t="s">
        <v>721</v>
      </c>
      <c r="D398" s="369" t="s">
        <v>964</v>
      </c>
      <c r="E398" s="392">
        <v>0</v>
      </c>
    </row>
    <row r="399" spans="1:5">
      <c r="A399" s="373">
        <v>380040</v>
      </c>
      <c r="B399" s="373">
        <v>8100</v>
      </c>
      <c r="C399" s="373" t="s">
        <v>725</v>
      </c>
      <c r="D399" s="369" t="s">
        <v>964</v>
      </c>
      <c r="E399" s="392">
        <v>-31383.9</v>
      </c>
    </row>
    <row r="400" spans="1:5">
      <c r="A400" s="373">
        <v>380041</v>
      </c>
      <c r="B400" s="373">
        <v>8000</v>
      </c>
      <c r="C400" s="373" t="s">
        <v>721</v>
      </c>
      <c r="D400" s="369" t="s">
        <v>965</v>
      </c>
      <c r="E400" s="392">
        <v>-91544.09</v>
      </c>
    </row>
    <row r="401" spans="1:9">
      <c r="A401" s="373">
        <v>380041</v>
      </c>
      <c r="B401" s="373">
        <v>8000</v>
      </c>
      <c r="C401" s="373" t="s">
        <v>721</v>
      </c>
      <c r="D401" s="369" t="s">
        <v>965</v>
      </c>
      <c r="E401" s="392">
        <v>0</v>
      </c>
    </row>
    <row r="402" spans="1:9">
      <c r="A402" s="373">
        <v>380041</v>
      </c>
      <c r="B402" s="373">
        <v>8100</v>
      </c>
      <c r="C402" s="373" t="s">
        <v>725</v>
      </c>
      <c r="D402" s="369" t="s">
        <v>965</v>
      </c>
      <c r="E402" s="392">
        <v>-260</v>
      </c>
    </row>
    <row r="403" spans="1:9">
      <c r="A403" s="373">
        <v>380060</v>
      </c>
      <c r="B403" s="373">
        <v>8000</v>
      </c>
      <c r="C403" s="373" t="s">
        <v>721</v>
      </c>
      <c r="D403" s="369" t="s">
        <v>966</v>
      </c>
      <c r="E403" s="392">
        <v>-624050</v>
      </c>
    </row>
    <row r="404" spans="1:9">
      <c r="A404" s="373">
        <v>380120</v>
      </c>
      <c r="B404" s="373">
        <v>8000</v>
      </c>
      <c r="C404" s="373" t="s">
        <v>721</v>
      </c>
      <c r="D404" s="369" t="s">
        <v>967</v>
      </c>
      <c r="E404" s="392">
        <v>-14880230.300000001</v>
      </c>
    </row>
    <row r="405" spans="1:9">
      <c r="A405" s="373">
        <v>380142</v>
      </c>
      <c r="B405" s="373">
        <v>8000</v>
      </c>
      <c r="C405" s="373" t="s">
        <v>721</v>
      </c>
      <c r="D405" s="369" t="s">
        <v>968</v>
      </c>
      <c r="E405" s="392">
        <v>-200000</v>
      </c>
    </row>
    <row r="406" spans="1:9">
      <c r="A406" s="373">
        <v>380143</v>
      </c>
      <c r="B406" s="373">
        <v>8000</v>
      </c>
      <c r="C406" s="373" t="s">
        <v>721</v>
      </c>
      <c r="D406" s="369" t="s">
        <v>969</v>
      </c>
      <c r="E406" s="392">
        <v>0</v>
      </c>
    </row>
    <row r="407" spans="1:9">
      <c r="A407" s="373">
        <v>380144</v>
      </c>
      <c r="B407" s="373">
        <v>8000</v>
      </c>
      <c r="C407" s="373" t="s">
        <v>721</v>
      </c>
      <c r="D407" s="369" t="s">
        <v>970</v>
      </c>
      <c r="E407" s="392">
        <v>-1677.41</v>
      </c>
      <c r="G407" s="371"/>
      <c r="I407" s="371">
        <v>-707451497.84000003</v>
      </c>
    </row>
    <row r="408" spans="1:9">
      <c r="A408" s="373">
        <v>400010</v>
      </c>
      <c r="B408" s="373">
        <v>8000</v>
      </c>
      <c r="C408" s="373" t="s">
        <v>721</v>
      </c>
      <c r="D408" s="369" t="s">
        <v>971</v>
      </c>
      <c r="E408" s="368">
        <v>15832478.470000001</v>
      </c>
    </row>
    <row r="409" spans="1:9">
      <c r="A409" s="373">
        <v>400010</v>
      </c>
      <c r="B409" s="373">
        <v>8100</v>
      </c>
      <c r="C409" s="373" t="s">
        <v>725</v>
      </c>
      <c r="D409" s="369" t="s">
        <v>971</v>
      </c>
      <c r="E409" s="368">
        <v>6373972.9000000004</v>
      </c>
    </row>
    <row r="410" spans="1:9">
      <c r="A410" s="373">
        <v>400050</v>
      </c>
      <c r="B410" s="373">
        <v>8000</v>
      </c>
      <c r="C410" s="373" t="s">
        <v>721</v>
      </c>
      <c r="D410" s="369" t="s">
        <v>972</v>
      </c>
      <c r="E410" s="368">
        <v>0</v>
      </c>
    </row>
    <row r="411" spans="1:9">
      <c r="A411" s="373">
        <v>400050</v>
      </c>
      <c r="B411" s="373">
        <v>8100</v>
      </c>
      <c r="C411" s="373" t="s">
        <v>725</v>
      </c>
      <c r="D411" s="369" t="s">
        <v>972</v>
      </c>
      <c r="E411" s="368">
        <v>0</v>
      </c>
    </row>
    <row r="412" spans="1:9">
      <c r="A412" s="373">
        <v>401010</v>
      </c>
      <c r="B412" s="373">
        <v>8000</v>
      </c>
      <c r="C412" s="373" t="s">
        <v>721</v>
      </c>
      <c r="D412" s="369" t="s">
        <v>973</v>
      </c>
      <c r="E412" s="368">
        <v>4059</v>
      </c>
    </row>
    <row r="413" spans="1:9">
      <c r="A413" s="373">
        <v>401020</v>
      </c>
      <c r="B413" s="373">
        <v>8000</v>
      </c>
      <c r="C413" s="373" t="s">
        <v>721</v>
      </c>
      <c r="D413" s="369" t="s">
        <v>974</v>
      </c>
      <c r="E413" s="368">
        <v>730366.33</v>
      </c>
    </row>
    <row r="414" spans="1:9">
      <c r="A414" s="373">
        <v>402010</v>
      </c>
      <c r="B414" s="373">
        <v>8000</v>
      </c>
      <c r="C414" s="373" t="s">
        <v>721</v>
      </c>
      <c r="D414" s="369" t="s">
        <v>975</v>
      </c>
      <c r="E414" s="368">
        <v>1974968</v>
      </c>
    </row>
    <row r="415" spans="1:9">
      <c r="A415" s="373">
        <v>402010</v>
      </c>
      <c r="B415" s="373">
        <v>8100</v>
      </c>
      <c r="C415" s="373" t="s">
        <v>725</v>
      </c>
      <c r="D415" s="369" t="s">
        <v>975</v>
      </c>
      <c r="E415" s="368">
        <v>0</v>
      </c>
    </row>
    <row r="416" spans="1:9">
      <c r="A416" s="373">
        <v>402100</v>
      </c>
      <c r="B416" s="373">
        <v>8000</v>
      </c>
      <c r="C416" s="373" t="s">
        <v>721</v>
      </c>
      <c r="D416" s="369" t="s">
        <v>976</v>
      </c>
      <c r="E416" s="368">
        <v>1062</v>
      </c>
    </row>
    <row r="417" spans="1:5">
      <c r="A417" s="373">
        <v>410010</v>
      </c>
      <c r="B417" s="373">
        <v>8000</v>
      </c>
      <c r="C417" s="373" t="s">
        <v>721</v>
      </c>
      <c r="D417" s="369" t="s">
        <v>977</v>
      </c>
      <c r="E417" s="397">
        <v>89678752</v>
      </c>
    </row>
    <row r="418" spans="1:5">
      <c r="A418" s="373">
        <v>410010</v>
      </c>
      <c r="B418" s="373">
        <v>8100</v>
      </c>
      <c r="C418" s="373" t="s">
        <v>725</v>
      </c>
      <c r="D418" s="369" t="s">
        <v>977</v>
      </c>
      <c r="E418" s="397">
        <v>29347164</v>
      </c>
    </row>
    <row r="419" spans="1:5">
      <c r="A419" s="373">
        <v>410020</v>
      </c>
      <c r="B419" s="373">
        <v>8000</v>
      </c>
      <c r="C419" s="373" t="s">
        <v>721</v>
      </c>
      <c r="D419" s="369" t="s">
        <v>978</v>
      </c>
      <c r="E419" s="397">
        <v>27100</v>
      </c>
    </row>
    <row r="420" spans="1:5">
      <c r="A420" s="373">
        <v>410030</v>
      </c>
      <c r="B420" s="373">
        <v>8000</v>
      </c>
      <c r="C420" s="373" t="s">
        <v>721</v>
      </c>
      <c r="D420" s="369" t="s">
        <v>979</v>
      </c>
      <c r="E420" s="397">
        <v>38041001</v>
      </c>
    </row>
    <row r="421" spans="1:5">
      <c r="A421" s="373">
        <v>410030</v>
      </c>
      <c r="B421" s="373">
        <v>8100</v>
      </c>
      <c r="C421" s="373" t="s">
        <v>725</v>
      </c>
      <c r="D421" s="369" t="s">
        <v>979</v>
      </c>
      <c r="E421" s="397">
        <v>12655985</v>
      </c>
    </row>
    <row r="422" spans="1:5">
      <c r="A422" s="373">
        <v>410031</v>
      </c>
      <c r="B422" s="373">
        <v>8000</v>
      </c>
      <c r="C422" s="373" t="s">
        <v>721</v>
      </c>
      <c r="D422" s="369" t="s">
        <v>980</v>
      </c>
      <c r="E422" s="397">
        <v>-64153</v>
      </c>
    </row>
    <row r="423" spans="1:5">
      <c r="A423" s="373">
        <v>410031</v>
      </c>
      <c r="B423" s="373">
        <v>8100</v>
      </c>
      <c r="C423" s="373" t="s">
        <v>725</v>
      </c>
      <c r="D423" s="369" t="s">
        <v>980</v>
      </c>
      <c r="E423" s="397">
        <v>85038</v>
      </c>
    </row>
    <row r="424" spans="1:5">
      <c r="A424" s="373">
        <v>410050</v>
      </c>
      <c r="B424" s="373">
        <v>8000</v>
      </c>
      <c r="C424" s="373" t="s">
        <v>721</v>
      </c>
      <c r="D424" s="369" t="s">
        <v>981</v>
      </c>
      <c r="E424" s="397">
        <v>1406526</v>
      </c>
    </row>
    <row r="425" spans="1:5">
      <c r="A425" s="373">
        <v>410050</v>
      </c>
      <c r="B425" s="373">
        <v>8100</v>
      </c>
      <c r="C425" s="373" t="s">
        <v>725</v>
      </c>
      <c r="D425" s="369" t="s">
        <v>981</v>
      </c>
      <c r="E425" s="397">
        <v>512173</v>
      </c>
    </row>
    <row r="426" spans="1:5">
      <c r="A426" s="373">
        <v>410060</v>
      </c>
      <c r="B426" s="373">
        <v>8000</v>
      </c>
      <c r="C426" s="373" t="s">
        <v>721</v>
      </c>
      <c r="D426" s="369" t="s">
        <v>982</v>
      </c>
      <c r="E426" s="397">
        <v>1778925</v>
      </c>
    </row>
    <row r="427" spans="1:5">
      <c r="A427" s="373">
        <v>410060</v>
      </c>
      <c r="B427" s="373">
        <v>8100</v>
      </c>
      <c r="C427" s="373" t="s">
        <v>725</v>
      </c>
      <c r="D427" s="369" t="s">
        <v>982</v>
      </c>
      <c r="E427" s="397">
        <v>310000</v>
      </c>
    </row>
    <row r="428" spans="1:5">
      <c r="A428" s="373">
        <v>410061</v>
      </c>
      <c r="B428" s="373">
        <v>8000</v>
      </c>
      <c r="C428" s="373" t="s">
        <v>721</v>
      </c>
      <c r="D428" s="369" t="s">
        <v>983</v>
      </c>
      <c r="E428" s="397">
        <v>692392</v>
      </c>
    </row>
    <row r="429" spans="1:5">
      <c r="A429" s="373">
        <v>410061</v>
      </c>
      <c r="B429" s="373">
        <v>8100</v>
      </c>
      <c r="C429" s="373" t="s">
        <v>725</v>
      </c>
      <c r="D429" s="369" t="s">
        <v>983</v>
      </c>
      <c r="E429" s="397">
        <v>124500</v>
      </c>
    </row>
    <row r="430" spans="1:5">
      <c r="A430" s="373">
        <v>410070</v>
      </c>
      <c r="B430" s="373">
        <v>8000</v>
      </c>
      <c r="C430" s="373" t="s">
        <v>721</v>
      </c>
      <c r="D430" s="369" t="s">
        <v>984</v>
      </c>
      <c r="E430" s="397">
        <v>933998</v>
      </c>
    </row>
    <row r="431" spans="1:5">
      <c r="A431" s="373">
        <v>410070</v>
      </c>
      <c r="B431" s="373">
        <v>8100</v>
      </c>
      <c r="C431" s="373" t="s">
        <v>725</v>
      </c>
      <c r="D431" s="369" t="s">
        <v>984</v>
      </c>
      <c r="E431" s="397">
        <v>304470</v>
      </c>
    </row>
    <row r="432" spans="1:5">
      <c r="A432" s="373">
        <v>410080</v>
      </c>
      <c r="B432" s="373">
        <v>8000</v>
      </c>
      <c r="C432" s="373" t="s">
        <v>721</v>
      </c>
      <c r="D432" s="369" t="s">
        <v>985</v>
      </c>
      <c r="E432" s="397">
        <v>700427</v>
      </c>
    </row>
    <row r="433" spans="1:5">
      <c r="A433" s="373">
        <v>410080</v>
      </c>
      <c r="B433" s="373">
        <v>8100</v>
      </c>
      <c r="C433" s="373" t="s">
        <v>725</v>
      </c>
      <c r="D433" s="369" t="s">
        <v>985</v>
      </c>
      <c r="E433" s="397">
        <v>220873</v>
      </c>
    </row>
    <row r="434" spans="1:5">
      <c r="A434" s="373">
        <v>410091</v>
      </c>
      <c r="B434" s="373">
        <v>8000</v>
      </c>
      <c r="C434" s="373" t="s">
        <v>721</v>
      </c>
      <c r="D434" s="369" t="s">
        <v>986</v>
      </c>
      <c r="E434" s="397">
        <v>2394</v>
      </c>
    </row>
    <row r="435" spans="1:5">
      <c r="A435" s="373">
        <v>410091</v>
      </c>
      <c r="B435" s="373">
        <v>8100</v>
      </c>
      <c r="C435" s="373" t="s">
        <v>725</v>
      </c>
      <c r="D435" s="369" t="s">
        <v>986</v>
      </c>
      <c r="E435" s="397">
        <v>1694</v>
      </c>
    </row>
    <row r="436" spans="1:5">
      <c r="A436" s="373">
        <v>410093</v>
      </c>
      <c r="B436" s="373">
        <v>8000</v>
      </c>
      <c r="C436" s="373" t="s">
        <v>721</v>
      </c>
      <c r="D436" s="369" t="s">
        <v>987</v>
      </c>
      <c r="E436" s="397">
        <v>75405</v>
      </c>
    </row>
    <row r="437" spans="1:5">
      <c r="A437" s="373">
        <v>410096</v>
      </c>
      <c r="B437" s="373">
        <v>8000</v>
      </c>
      <c r="C437" s="373" t="s">
        <v>721</v>
      </c>
      <c r="D437" s="369" t="s">
        <v>988</v>
      </c>
      <c r="E437" s="397">
        <v>1203248</v>
      </c>
    </row>
    <row r="438" spans="1:5">
      <c r="A438" s="373">
        <v>410096</v>
      </c>
      <c r="B438" s="373">
        <v>8100</v>
      </c>
      <c r="C438" s="373" t="s">
        <v>725</v>
      </c>
      <c r="D438" s="369" t="s">
        <v>988</v>
      </c>
      <c r="E438" s="397">
        <v>575958</v>
      </c>
    </row>
    <row r="439" spans="1:5">
      <c r="A439" s="373">
        <v>410098</v>
      </c>
      <c r="B439" s="373">
        <v>8000</v>
      </c>
      <c r="C439" s="373" t="s">
        <v>721</v>
      </c>
      <c r="D439" s="369" t="s">
        <v>989</v>
      </c>
      <c r="E439" s="397">
        <v>388550</v>
      </c>
    </row>
    <row r="440" spans="1:5">
      <c r="A440" s="373">
        <v>410098</v>
      </c>
      <c r="B440" s="373">
        <v>8100</v>
      </c>
      <c r="C440" s="373" t="s">
        <v>725</v>
      </c>
      <c r="D440" s="369" t="s">
        <v>989</v>
      </c>
      <c r="E440" s="397">
        <v>230300</v>
      </c>
    </row>
    <row r="441" spans="1:5">
      <c r="A441" s="373">
        <v>410100</v>
      </c>
      <c r="B441" s="373">
        <v>8000</v>
      </c>
      <c r="C441" s="373" t="s">
        <v>721</v>
      </c>
      <c r="D441" s="369" t="s">
        <v>990</v>
      </c>
      <c r="E441" s="397">
        <v>32635</v>
      </c>
    </row>
    <row r="442" spans="1:5">
      <c r="A442" s="373">
        <v>410100</v>
      </c>
      <c r="B442" s="373">
        <v>8100</v>
      </c>
      <c r="C442" s="373" t="s">
        <v>725</v>
      </c>
      <c r="D442" s="369" t="s">
        <v>990</v>
      </c>
      <c r="E442" s="397">
        <v>10142</v>
      </c>
    </row>
    <row r="443" spans="1:5">
      <c r="A443" s="373">
        <v>410110</v>
      </c>
      <c r="B443" s="373">
        <v>8000</v>
      </c>
      <c r="C443" s="373" t="s">
        <v>721</v>
      </c>
      <c r="D443" s="369" t="s">
        <v>991</v>
      </c>
      <c r="E443" s="397">
        <v>2353</v>
      </c>
    </row>
    <row r="444" spans="1:5">
      <c r="A444" s="373">
        <v>410110</v>
      </c>
      <c r="B444" s="373">
        <v>8100</v>
      </c>
      <c r="C444" s="373" t="s">
        <v>725</v>
      </c>
      <c r="D444" s="369" t="s">
        <v>991</v>
      </c>
      <c r="E444" s="397">
        <v>1694</v>
      </c>
    </row>
    <row r="445" spans="1:5">
      <c r="A445" s="373">
        <v>410120</v>
      </c>
      <c r="B445" s="373">
        <v>8000</v>
      </c>
      <c r="C445" s="373" t="s">
        <v>721</v>
      </c>
      <c r="D445" s="369" t="s">
        <v>992</v>
      </c>
      <c r="E445" s="397">
        <v>6586</v>
      </c>
    </row>
    <row r="446" spans="1:5">
      <c r="A446" s="373">
        <v>410120</v>
      </c>
      <c r="B446" s="373">
        <v>8100</v>
      </c>
      <c r="C446" s="373" t="s">
        <v>725</v>
      </c>
      <c r="D446" s="369" t="s">
        <v>992</v>
      </c>
      <c r="E446" s="397">
        <v>4748</v>
      </c>
    </row>
    <row r="447" spans="1:5">
      <c r="A447" s="373">
        <v>410130</v>
      </c>
      <c r="B447" s="373">
        <v>8000</v>
      </c>
      <c r="C447" s="373" t="s">
        <v>721</v>
      </c>
      <c r="D447" s="369" t="s">
        <v>993</v>
      </c>
      <c r="E447" s="397">
        <v>270372</v>
      </c>
    </row>
    <row r="448" spans="1:5">
      <c r="A448" s="373">
        <v>410130</v>
      </c>
      <c r="B448" s="373">
        <v>8100</v>
      </c>
      <c r="C448" s="373" t="s">
        <v>725</v>
      </c>
      <c r="D448" s="369" t="s">
        <v>993</v>
      </c>
      <c r="E448" s="397">
        <v>102053</v>
      </c>
    </row>
    <row r="449" spans="1:5">
      <c r="A449" s="373">
        <v>410140</v>
      </c>
      <c r="B449" s="373">
        <v>8000</v>
      </c>
      <c r="C449" s="373" t="s">
        <v>721</v>
      </c>
      <c r="D449" s="369" t="s">
        <v>994</v>
      </c>
      <c r="E449" s="397">
        <v>16991637</v>
      </c>
    </row>
    <row r="450" spans="1:5">
      <c r="A450" s="373">
        <v>410140</v>
      </c>
      <c r="B450" s="373">
        <v>8100</v>
      </c>
      <c r="C450" s="373" t="s">
        <v>725</v>
      </c>
      <c r="D450" s="369" t="s">
        <v>994</v>
      </c>
      <c r="E450" s="397">
        <v>5523368</v>
      </c>
    </row>
    <row r="451" spans="1:5">
      <c r="A451" s="373">
        <v>410150</v>
      </c>
      <c r="B451" s="373">
        <v>8000</v>
      </c>
      <c r="C451" s="373" t="s">
        <v>721</v>
      </c>
      <c r="D451" s="369" t="s">
        <v>995</v>
      </c>
      <c r="E451" s="397">
        <v>299276</v>
      </c>
    </row>
    <row r="452" spans="1:5">
      <c r="A452" s="373">
        <v>410150</v>
      </c>
      <c r="B452" s="373">
        <v>8100</v>
      </c>
      <c r="C452" s="373" t="s">
        <v>725</v>
      </c>
      <c r="D452" s="369" t="s">
        <v>995</v>
      </c>
      <c r="E452" s="397">
        <v>86873</v>
      </c>
    </row>
    <row r="453" spans="1:5">
      <c r="A453" s="373">
        <v>410161</v>
      </c>
      <c r="B453" s="373">
        <v>8000</v>
      </c>
      <c r="C453" s="373" t="s">
        <v>721</v>
      </c>
      <c r="D453" s="369" t="s">
        <v>996</v>
      </c>
      <c r="E453" s="397">
        <v>994760</v>
      </c>
    </row>
    <row r="454" spans="1:5">
      <c r="A454" s="373">
        <v>410161</v>
      </c>
      <c r="B454" s="373">
        <v>8100</v>
      </c>
      <c r="C454" s="373" t="s">
        <v>725</v>
      </c>
      <c r="D454" s="369" t="s">
        <v>996</v>
      </c>
      <c r="E454" s="397">
        <v>353799</v>
      </c>
    </row>
    <row r="455" spans="1:5">
      <c r="A455" s="373">
        <v>410162</v>
      </c>
      <c r="B455" s="373">
        <v>8000</v>
      </c>
      <c r="C455" s="373" t="s">
        <v>721</v>
      </c>
      <c r="D455" s="369" t="s">
        <v>997</v>
      </c>
      <c r="E455" s="397">
        <v>119132</v>
      </c>
    </row>
    <row r="456" spans="1:5">
      <c r="A456" s="373">
        <v>410162</v>
      </c>
      <c r="B456" s="373">
        <v>8100</v>
      </c>
      <c r="C456" s="373" t="s">
        <v>725</v>
      </c>
      <c r="D456" s="369" t="s">
        <v>997</v>
      </c>
      <c r="E456" s="397">
        <v>35012</v>
      </c>
    </row>
    <row r="457" spans="1:5">
      <c r="A457" s="373">
        <v>410163</v>
      </c>
      <c r="B457" s="373">
        <v>8000</v>
      </c>
      <c r="C457" s="373" t="s">
        <v>721</v>
      </c>
      <c r="D457" s="369" t="s">
        <v>998</v>
      </c>
      <c r="E457" s="397">
        <v>11968</v>
      </c>
    </row>
    <row r="458" spans="1:5">
      <c r="A458" s="373">
        <v>410163</v>
      </c>
      <c r="B458" s="373">
        <v>8100</v>
      </c>
      <c r="C458" s="373" t="s">
        <v>725</v>
      </c>
      <c r="D458" s="369" t="s">
        <v>998</v>
      </c>
      <c r="E458" s="397">
        <v>8484</v>
      </c>
    </row>
    <row r="459" spans="1:5">
      <c r="A459" s="373">
        <v>410170</v>
      </c>
      <c r="B459" s="373">
        <v>8000</v>
      </c>
      <c r="C459" s="373" t="s">
        <v>721</v>
      </c>
      <c r="D459" s="369" t="s">
        <v>999</v>
      </c>
      <c r="E459" s="397">
        <v>635999</v>
      </c>
    </row>
    <row r="460" spans="1:5">
      <c r="A460" s="373">
        <v>410170</v>
      </c>
      <c r="B460" s="373">
        <v>8100</v>
      </c>
      <c r="C460" s="373" t="s">
        <v>725</v>
      </c>
      <c r="D460" s="369" t="s">
        <v>999</v>
      </c>
      <c r="E460" s="397">
        <v>207888</v>
      </c>
    </row>
    <row r="461" spans="1:5">
      <c r="A461" s="373">
        <v>410200</v>
      </c>
      <c r="B461" s="373">
        <v>8000</v>
      </c>
      <c r="C461" s="373" t="s">
        <v>721</v>
      </c>
      <c r="D461" s="369" t="s">
        <v>1000</v>
      </c>
      <c r="E461" s="397">
        <v>286733</v>
      </c>
    </row>
    <row r="462" spans="1:5">
      <c r="A462" s="373">
        <v>410200</v>
      </c>
      <c r="B462" s="373">
        <v>8100</v>
      </c>
      <c r="C462" s="373" t="s">
        <v>725</v>
      </c>
      <c r="D462" s="369" t="s">
        <v>1000</v>
      </c>
      <c r="E462" s="397">
        <v>97766</v>
      </c>
    </row>
    <row r="463" spans="1:5">
      <c r="A463" s="373">
        <v>410220</v>
      </c>
      <c r="B463" s="373">
        <v>8000</v>
      </c>
      <c r="C463" s="373" t="s">
        <v>721</v>
      </c>
      <c r="D463" s="369" t="s">
        <v>1001</v>
      </c>
      <c r="E463" s="397">
        <v>14637</v>
      </c>
    </row>
    <row r="464" spans="1:5">
      <c r="A464" s="373">
        <v>410240</v>
      </c>
      <c r="B464" s="373">
        <v>8000</v>
      </c>
      <c r="C464" s="373" t="s">
        <v>721</v>
      </c>
      <c r="D464" s="369" t="s">
        <v>138</v>
      </c>
      <c r="E464" s="397">
        <v>820074</v>
      </c>
    </row>
    <row r="465" spans="1:5">
      <c r="A465" s="373">
        <v>410240</v>
      </c>
      <c r="B465" s="373">
        <v>8100</v>
      </c>
      <c r="C465" s="373" t="s">
        <v>725</v>
      </c>
      <c r="D465" s="369" t="s">
        <v>138</v>
      </c>
      <c r="E465" s="397">
        <v>333959</v>
      </c>
    </row>
    <row r="466" spans="1:5">
      <c r="A466" s="373">
        <v>410250</v>
      </c>
      <c r="B466" s="373">
        <v>8000</v>
      </c>
      <c r="C466" s="373" t="s">
        <v>721</v>
      </c>
      <c r="D466" s="369" t="s">
        <v>1002</v>
      </c>
      <c r="E466" s="397">
        <v>937476</v>
      </c>
    </row>
    <row r="467" spans="1:5">
      <c r="A467" s="373">
        <v>410250</v>
      </c>
      <c r="B467" s="373">
        <v>8100</v>
      </c>
      <c r="C467" s="373" t="s">
        <v>725</v>
      </c>
      <c r="D467" s="369" t="s">
        <v>1002</v>
      </c>
      <c r="E467" s="397">
        <v>110445</v>
      </c>
    </row>
    <row r="468" spans="1:5">
      <c r="A468" s="373">
        <v>410280</v>
      </c>
      <c r="B468" s="373">
        <v>8000</v>
      </c>
      <c r="C468" s="373" t="s">
        <v>721</v>
      </c>
      <c r="D468" s="369" t="s">
        <v>1003</v>
      </c>
      <c r="E468" s="397">
        <v>881835</v>
      </c>
    </row>
    <row r="469" spans="1:5">
      <c r="A469" s="373">
        <v>410280</v>
      </c>
      <c r="B469" s="373">
        <v>8100</v>
      </c>
      <c r="C469" s="373" t="s">
        <v>725</v>
      </c>
      <c r="D469" s="369" t="s">
        <v>1003</v>
      </c>
      <c r="E469" s="397">
        <v>164000</v>
      </c>
    </row>
    <row r="470" spans="1:5">
      <c r="A470" s="373">
        <v>420010</v>
      </c>
      <c r="B470" s="373">
        <v>8000</v>
      </c>
      <c r="C470" s="373" t="s">
        <v>721</v>
      </c>
      <c r="D470" s="369" t="s">
        <v>142</v>
      </c>
      <c r="E470" s="397">
        <v>49000</v>
      </c>
    </row>
    <row r="471" spans="1:5">
      <c r="A471" s="373">
        <v>420020</v>
      </c>
      <c r="B471" s="373">
        <v>8000</v>
      </c>
      <c r="C471" s="373" t="s">
        <v>721</v>
      </c>
      <c r="D471" s="369" t="s">
        <v>1004</v>
      </c>
      <c r="E471" s="397">
        <v>160502</v>
      </c>
    </row>
    <row r="472" spans="1:5">
      <c r="A472" s="373">
        <v>420020</v>
      </c>
      <c r="B472" s="373">
        <v>8100</v>
      </c>
      <c r="C472" s="373" t="s">
        <v>725</v>
      </c>
      <c r="D472" s="369" t="s">
        <v>1004</v>
      </c>
      <c r="E472" s="397">
        <v>193841</v>
      </c>
    </row>
    <row r="473" spans="1:5">
      <c r="A473" s="373">
        <v>421010</v>
      </c>
      <c r="B473" s="373">
        <v>8000</v>
      </c>
      <c r="C473" s="373" t="s">
        <v>721</v>
      </c>
      <c r="D473" s="369" t="s">
        <v>1005</v>
      </c>
      <c r="E473" s="397">
        <v>81241</v>
      </c>
    </row>
    <row r="474" spans="1:5">
      <c r="A474" s="373">
        <v>421021</v>
      </c>
      <c r="B474" s="373">
        <v>8000</v>
      </c>
      <c r="C474" s="373" t="s">
        <v>721</v>
      </c>
      <c r="D474" s="369" t="s">
        <v>1006</v>
      </c>
      <c r="E474" s="397">
        <v>1241303</v>
      </c>
    </row>
    <row r="475" spans="1:5">
      <c r="A475" s="373">
        <v>421030</v>
      </c>
      <c r="B475" s="373">
        <v>8000</v>
      </c>
      <c r="C475" s="373" t="s">
        <v>721</v>
      </c>
      <c r="D475" s="369" t="s">
        <v>1007</v>
      </c>
      <c r="E475" s="397">
        <v>0</v>
      </c>
    </row>
    <row r="476" spans="1:5">
      <c r="A476" s="373">
        <v>421040</v>
      </c>
      <c r="B476" s="373">
        <v>8000</v>
      </c>
      <c r="C476" s="373" t="s">
        <v>721</v>
      </c>
      <c r="D476" s="369" t="s">
        <v>1008</v>
      </c>
      <c r="E476" s="397">
        <v>1296</v>
      </c>
    </row>
    <row r="477" spans="1:5">
      <c r="A477" s="373">
        <v>421040</v>
      </c>
      <c r="B477" s="373">
        <v>8100</v>
      </c>
      <c r="C477" s="373" t="s">
        <v>725</v>
      </c>
      <c r="D477" s="369" t="s">
        <v>1008</v>
      </c>
      <c r="E477" s="397">
        <v>396</v>
      </c>
    </row>
    <row r="478" spans="1:5">
      <c r="A478" s="373">
        <v>422040</v>
      </c>
      <c r="B478" s="373">
        <v>8000</v>
      </c>
      <c r="C478" s="373" t="s">
        <v>721</v>
      </c>
      <c r="D478" s="369" t="s">
        <v>1009</v>
      </c>
      <c r="E478" s="397">
        <v>0</v>
      </c>
    </row>
    <row r="479" spans="1:5">
      <c r="A479" s="373">
        <v>422040</v>
      </c>
      <c r="B479" s="373">
        <v>8100</v>
      </c>
      <c r="C479" s="373" t="s">
        <v>725</v>
      </c>
      <c r="D479" s="369" t="s">
        <v>1009</v>
      </c>
      <c r="E479" s="397">
        <v>3660</v>
      </c>
    </row>
    <row r="480" spans="1:5">
      <c r="A480" s="373">
        <v>422060</v>
      </c>
      <c r="B480" s="373">
        <v>8000</v>
      </c>
      <c r="C480" s="373" t="s">
        <v>721</v>
      </c>
      <c r="D480" s="369" t="s">
        <v>1010</v>
      </c>
      <c r="E480" s="397">
        <v>0</v>
      </c>
    </row>
    <row r="481" spans="1:9">
      <c r="A481" s="373">
        <v>422060</v>
      </c>
      <c r="B481" s="373">
        <v>8100</v>
      </c>
      <c r="C481" s="373" t="s">
        <v>725</v>
      </c>
      <c r="D481" s="369" t="s">
        <v>1010</v>
      </c>
      <c r="E481" s="397">
        <v>30000</v>
      </c>
    </row>
    <row r="482" spans="1:9">
      <c r="A482" s="373">
        <v>422070</v>
      </c>
      <c r="B482" s="373">
        <v>8000</v>
      </c>
      <c r="C482" s="373" t="s">
        <v>721</v>
      </c>
      <c r="D482" s="369" t="s">
        <v>1011</v>
      </c>
      <c r="E482" s="397">
        <v>1019992</v>
      </c>
    </row>
    <row r="483" spans="1:9">
      <c r="A483" s="373">
        <v>422070</v>
      </c>
      <c r="B483" s="373">
        <v>8100</v>
      </c>
      <c r="C483" s="373" t="s">
        <v>725</v>
      </c>
      <c r="D483" s="369" t="s">
        <v>1011</v>
      </c>
      <c r="E483" s="397">
        <v>0</v>
      </c>
    </row>
    <row r="484" spans="1:9">
      <c r="A484" s="373">
        <v>423010</v>
      </c>
      <c r="B484" s="373">
        <v>8000</v>
      </c>
      <c r="C484" s="373" t="s">
        <v>721</v>
      </c>
      <c r="D484" s="369" t="s">
        <v>1012</v>
      </c>
      <c r="E484" s="397">
        <v>1241250</v>
      </c>
    </row>
    <row r="485" spans="1:9">
      <c r="A485" s="373">
        <v>423010</v>
      </c>
      <c r="B485" s="373">
        <v>8100</v>
      </c>
      <c r="C485" s="373" t="s">
        <v>725</v>
      </c>
      <c r="D485" s="369" t="s">
        <v>1012</v>
      </c>
      <c r="E485" s="397">
        <v>438052</v>
      </c>
    </row>
    <row r="486" spans="1:9">
      <c r="A486" s="373">
        <v>423020</v>
      </c>
      <c r="B486" s="373">
        <v>8000</v>
      </c>
      <c r="C486" s="373" t="s">
        <v>721</v>
      </c>
      <c r="D486" s="369" t="s">
        <v>1013</v>
      </c>
      <c r="E486" s="397">
        <v>39920</v>
      </c>
    </row>
    <row r="487" spans="1:9">
      <c r="A487" s="373">
        <v>423020</v>
      </c>
      <c r="B487" s="373">
        <v>8100</v>
      </c>
      <c r="C487" s="373" t="s">
        <v>725</v>
      </c>
      <c r="D487" s="369" t="s">
        <v>1013</v>
      </c>
      <c r="E487" s="397">
        <v>14480</v>
      </c>
    </row>
    <row r="488" spans="1:9">
      <c r="A488" s="373">
        <v>424010</v>
      </c>
      <c r="B488" s="373">
        <v>8000</v>
      </c>
      <c r="C488" s="373" t="s">
        <v>721</v>
      </c>
      <c r="D488" s="369" t="s">
        <v>1014</v>
      </c>
      <c r="E488" s="397">
        <v>14107511</v>
      </c>
    </row>
    <row r="489" spans="1:9">
      <c r="A489" s="373">
        <v>424010</v>
      </c>
      <c r="B489" s="373">
        <v>8100</v>
      </c>
      <c r="C489" s="373" t="s">
        <v>725</v>
      </c>
      <c r="D489" s="369" t="s">
        <v>1014</v>
      </c>
      <c r="E489" s="397">
        <v>4607755</v>
      </c>
    </row>
    <row r="490" spans="1:9">
      <c r="A490" s="373">
        <v>424020</v>
      </c>
      <c r="B490" s="373">
        <v>8000</v>
      </c>
      <c r="C490" s="373" t="s">
        <v>721</v>
      </c>
      <c r="D490" s="369" t="s">
        <v>1015</v>
      </c>
      <c r="E490" s="397">
        <v>58664</v>
      </c>
    </row>
    <row r="491" spans="1:9">
      <c r="A491" s="373">
        <v>424030</v>
      </c>
      <c r="B491" s="373">
        <v>8000</v>
      </c>
      <c r="C491" s="373" t="s">
        <v>721</v>
      </c>
      <c r="D491" s="369" t="s">
        <v>1016</v>
      </c>
      <c r="E491" s="397">
        <v>0</v>
      </c>
      <c r="G491" s="371"/>
      <c r="I491" s="371">
        <v>231867287</v>
      </c>
    </row>
    <row r="492" spans="1:9">
      <c r="A492" s="373">
        <v>425010</v>
      </c>
      <c r="B492" s="373">
        <v>8000</v>
      </c>
      <c r="C492" s="373" t="s">
        <v>721</v>
      </c>
      <c r="D492" s="369" t="s">
        <v>1017</v>
      </c>
      <c r="E492" s="368">
        <v>734348</v>
      </c>
    </row>
    <row r="493" spans="1:9">
      <c r="A493" s="373">
        <v>425010</v>
      </c>
      <c r="B493" s="373">
        <v>8100</v>
      </c>
      <c r="C493" s="373" t="s">
        <v>725</v>
      </c>
      <c r="D493" s="369" t="s">
        <v>1017</v>
      </c>
      <c r="E493" s="368">
        <v>75806</v>
      </c>
    </row>
    <row r="494" spans="1:9">
      <c r="A494" s="373">
        <v>430010</v>
      </c>
      <c r="B494" s="373">
        <v>8000</v>
      </c>
      <c r="C494" s="373" t="s">
        <v>721</v>
      </c>
      <c r="D494" s="369" t="s">
        <v>1018</v>
      </c>
      <c r="E494" s="368">
        <v>-3.86</v>
      </c>
    </row>
    <row r="495" spans="1:9">
      <c r="A495" s="373">
        <v>430010</v>
      </c>
      <c r="B495" s="373">
        <v>8100</v>
      </c>
      <c r="C495" s="373" t="s">
        <v>725</v>
      </c>
      <c r="D495" s="369" t="s">
        <v>1018</v>
      </c>
      <c r="E495" s="368">
        <v>0</v>
      </c>
    </row>
    <row r="496" spans="1:9">
      <c r="A496" s="373">
        <v>430030</v>
      </c>
      <c r="B496" s="373">
        <v>8000</v>
      </c>
      <c r="C496" s="373" t="s">
        <v>721</v>
      </c>
      <c r="D496" s="369" t="s">
        <v>1019</v>
      </c>
      <c r="E496" s="368">
        <v>210534</v>
      </c>
    </row>
    <row r="497" spans="1:5">
      <c r="A497" s="373">
        <v>430030</v>
      </c>
      <c r="B497" s="373">
        <v>8100</v>
      </c>
      <c r="C497" s="373" t="s">
        <v>725</v>
      </c>
      <c r="D497" s="369" t="s">
        <v>1019</v>
      </c>
      <c r="E497" s="368">
        <v>2560</v>
      </c>
    </row>
    <row r="498" spans="1:5">
      <c r="A498" s="373">
        <v>430040</v>
      </c>
      <c r="B498" s="373">
        <v>8000</v>
      </c>
      <c r="C498" s="373" t="s">
        <v>721</v>
      </c>
      <c r="D498" s="369" t="s">
        <v>1020</v>
      </c>
      <c r="E498" s="368">
        <v>990143</v>
      </c>
    </row>
    <row r="499" spans="1:5">
      <c r="A499" s="373">
        <v>430040</v>
      </c>
      <c r="B499" s="373">
        <v>8100</v>
      </c>
      <c r="C499" s="373" t="s">
        <v>725</v>
      </c>
      <c r="D499" s="369" t="s">
        <v>1020</v>
      </c>
      <c r="E499" s="368">
        <v>78844</v>
      </c>
    </row>
    <row r="500" spans="1:5">
      <c r="A500" s="373">
        <v>430070</v>
      </c>
      <c r="B500" s="373">
        <v>8000</v>
      </c>
      <c r="C500" s="373" t="s">
        <v>721</v>
      </c>
      <c r="D500" s="369" t="s">
        <v>1021</v>
      </c>
      <c r="E500" s="368">
        <v>692260</v>
      </c>
    </row>
    <row r="501" spans="1:5">
      <c r="A501" s="373">
        <v>430070</v>
      </c>
      <c r="B501" s="373">
        <v>8100</v>
      </c>
      <c r="C501" s="373" t="s">
        <v>725</v>
      </c>
      <c r="D501" s="369" t="s">
        <v>1021</v>
      </c>
      <c r="E501" s="368">
        <v>316582</v>
      </c>
    </row>
    <row r="502" spans="1:5">
      <c r="A502" s="373">
        <v>430100</v>
      </c>
      <c r="B502" s="373">
        <v>8000</v>
      </c>
      <c r="C502" s="373" t="s">
        <v>721</v>
      </c>
      <c r="D502" s="369" t="s">
        <v>1022</v>
      </c>
      <c r="E502" s="368">
        <v>18819947.219999999</v>
      </c>
    </row>
    <row r="503" spans="1:5">
      <c r="A503" s="373">
        <v>430100</v>
      </c>
      <c r="B503" s="373">
        <v>8100</v>
      </c>
      <c r="C503" s="373" t="s">
        <v>725</v>
      </c>
      <c r="D503" s="369" t="s">
        <v>1022</v>
      </c>
      <c r="E503" s="368">
        <v>184144.6</v>
      </c>
    </row>
    <row r="504" spans="1:5">
      <c r="A504" s="373">
        <v>430110</v>
      </c>
      <c r="B504" s="373">
        <v>8000</v>
      </c>
      <c r="C504" s="373" t="s">
        <v>721</v>
      </c>
      <c r="D504" s="369" t="s">
        <v>1023</v>
      </c>
      <c r="E504" s="368">
        <v>15336369.98</v>
      </c>
    </row>
    <row r="505" spans="1:5">
      <c r="A505" s="373">
        <v>430110</v>
      </c>
      <c r="B505" s="373">
        <v>8100</v>
      </c>
      <c r="C505" s="373" t="s">
        <v>725</v>
      </c>
      <c r="D505" s="369" t="s">
        <v>1023</v>
      </c>
      <c r="E505" s="368">
        <v>1707706.4</v>
      </c>
    </row>
    <row r="506" spans="1:5">
      <c r="A506" s="373">
        <v>431010</v>
      </c>
      <c r="B506" s="373">
        <v>8000</v>
      </c>
      <c r="C506" s="373" t="s">
        <v>721</v>
      </c>
      <c r="D506" s="369" t="s">
        <v>1024</v>
      </c>
      <c r="E506" s="368">
        <v>2169151.2000000002</v>
      </c>
    </row>
    <row r="507" spans="1:5">
      <c r="A507" s="373">
        <v>431030</v>
      </c>
      <c r="B507" s="373">
        <v>8000</v>
      </c>
      <c r="C507" s="373" t="s">
        <v>721</v>
      </c>
      <c r="D507" s="369" t="s">
        <v>1025</v>
      </c>
      <c r="E507" s="368">
        <v>1063921.18</v>
      </c>
    </row>
    <row r="508" spans="1:5">
      <c r="A508" s="373">
        <v>431030</v>
      </c>
      <c r="B508" s="373">
        <v>8100</v>
      </c>
      <c r="C508" s="373" t="s">
        <v>725</v>
      </c>
      <c r="D508" s="369" t="s">
        <v>1025</v>
      </c>
      <c r="E508" s="368">
        <v>3540</v>
      </c>
    </row>
    <row r="509" spans="1:5">
      <c r="A509" s="373">
        <v>431040</v>
      </c>
      <c r="B509" s="373">
        <v>8000</v>
      </c>
      <c r="C509" s="373" t="s">
        <v>721</v>
      </c>
      <c r="D509" s="369" t="s">
        <v>1026</v>
      </c>
      <c r="E509" s="368">
        <v>118000</v>
      </c>
    </row>
    <row r="510" spans="1:5">
      <c r="A510" s="373">
        <v>431050</v>
      </c>
      <c r="B510" s="373">
        <v>8000</v>
      </c>
      <c r="C510" s="373" t="s">
        <v>721</v>
      </c>
      <c r="D510" s="369" t="s">
        <v>1027</v>
      </c>
      <c r="E510" s="368">
        <v>6762799.96</v>
      </c>
    </row>
    <row r="511" spans="1:5">
      <c r="A511" s="373">
        <v>435010</v>
      </c>
      <c r="B511" s="373">
        <v>8000</v>
      </c>
      <c r="C511" s="373" t="s">
        <v>721</v>
      </c>
      <c r="D511" s="369" t="s">
        <v>1028</v>
      </c>
      <c r="E511" s="368">
        <v>0.01</v>
      </c>
    </row>
    <row r="512" spans="1:5">
      <c r="A512" s="373">
        <v>440010</v>
      </c>
      <c r="B512" s="373">
        <v>8000</v>
      </c>
      <c r="C512" s="373" t="s">
        <v>721</v>
      </c>
      <c r="D512" s="369" t="s">
        <v>1029</v>
      </c>
      <c r="E512" s="368">
        <v>83418218</v>
      </c>
    </row>
    <row r="513" spans="1:5">
      <c r="A513" s="373">
        <v>440030</v>
      </c>
      <c r="B513" s="373">
        <v>8000</v>
      </c>
      <c r="C513" s="373" t="s">
        <v>721</v>
      </c>
      <c r="D513" s="369" t="s">
        <v>190</v>
      </c>
      <c r="E513" s="368">
        <v>239165.2</v>
      </c>
    </row>
    <row r="514" spans="1:5">
      <c r="A514" s="373">
        <v>440030</v>
      </c>
      <c r="B514" s="373">
        <v>8100</v>
      </c>
      <c r="C514" s="373" t="s">
        <v>725</v>
      </c>
      <c r="D514" s="369" t="s">
        <v>190</v>
      </c>
      <c r="E514" s="368">
        <v>53684.09</v>
      </c>
    </row>
    <row r="515" spans="1:5">
      <c r="A515" s="373">
        <v>440040</v>
      </c>
      <c r="B515" s="373">
        <v>8100</v>
      </c>
      <c r="C515" s="373" t="s">
        <v>725</v>
      </c>
      <c r="D515" s="369" t="s">
        <v>1030</v>
      </c>
      <c r="E515" s="368">
        <v>0</v>
      </c>
    </row>
    <row r="516" spans="1:5">
      <c r="A516" s="373">
        <v>440050</v>
      </c>
      <c r="B516" s="373">
        <v>8000</v>
      </c>
      <c r="C516" s="373" t="s">
        <v>721</v>
      </c>
      <c r="D516" s="369" t="s">
        <v>184</v>
      </c>
      <c r="E516" s="368">
        <v>27124304</v>
      </c>
    </row>
    <row r="517" spans="1:5">
      <c r="A517" s="373">
        <v>440050</v>
      </c>
      <c r="B517" s="373">
        <v>8100</v>
      </c>
      <c r="C517" s="373" t="s">
        <v>725</v>
      </c>
      <c r="D517" s="369" t="s">
        <v>184</v>
      </c>
      <c r="E517" s="368">
        <v>6897820</v>
      </c>
    </row>
    <row r="518" spans="1:5">
      <c r="A518" s="373">
        <v>440060</v>
      </c>
      <c r="B518" s="373">
        <v>8000</v>
      </c>
      <c r="C518" s="373" t="s">
        <v>721</v>
      </c>
      <c r="D518" s="369" t="s">
        <v>1031</v>
      </c>
      <c r="E518" s="368">
        <v>1385459</v>
      </c>
    </row>
    <row r="519" spans="1:5">
      <c r="A519" s="373">
        <v>440060</v>
      </c>
      <c r="B519" s="373">
        <v>8100</v>
      </c>
      <c r="C519" s="373" t="s">
        <v>725</v>
      </c>
      <c r="D519" s="369" t="s">
        <v>1031</v>
      </c>
      <c r="E519" s="368">
        <v>65392</v>
      </c>
    </row>
    <row r="520" spans="1:5">
      <c r="A520" s="373">
        <v>440070</v>
      </c>
      <c r="B520" s="373">
        <v>8000</v>
      </c>
      <c r="C520" s="373" t="s">
        <v>721</v>
      </c>
      <c r="D520" s="369" t="s">
        <v>1032</v>
      </c>
      <c r="E520" s="368">
        <v>1770</v>
      </c>
    </row>
    <row r="521" spans="1:5">
      <c r="A521" s="373">
        <v>440080</v>
      </c>
      <c r="B521" s="373">
        <v>8000</v>
      </c>
      <c r="C521" s="373" t="s">
        <v>721</v>
      </c>
      <c r="D521" s="369" t="s">
        <v>1033</v>
      </c>
      <c r="E521" s="368">
        <v>486800</v>
      </c>
    </row>
    <row r="522" spans="1:5">
      <c r="A522" s="373">
        <v>440080</v>
      </c>
      <c r="B522" s="373">
        <v>8100</v>
      </c>
      <c r="C522" s="373" t="s">
        <v>725</v>
      </c>
      <c r="D522" s="369" t="s">
        <v>1033</v>
      </c>
      <c r="E522" s="368">
        <v>8260</v>
      </c>
    </row>
    <row r="523" spans="1:5">
      <c r="A523" s="373">
        <v>440090</v>
      </c>
      <c r="B523" s="373">
        <v>8000</v>
      </c>
      <c r="C523" s="373" t="s">
        <v>721</v>
      </c>
      <c r="D523" s="369" t="s">
        <v>1034</v>
      </c>
      <c r="E523" s="368">
        <v>2810924.94</v>
      </c>
    </row>
    <row r="524" spans="1:5">
      <c r="A524" s="373">
        <v>440090</v>
      </c>
      <c r="B524" s="373">
        <v>8100</v>
      </c>
      <c r="C524" s="373" t="s">
        <v>725</v>
      </c>
      <c r="D524" s="369" t="s">
        <v>1034</v>
      </c>
      <c r="E524" s="368">
        <v>2351526.1800000002</v>
      </c>
    </row>
    <row r="525" spans="1:5">
      <c r="A525" s="373">
        <v>440100</v>
      </c>
      <c r="B525" s="373">
        <v>8000</v>
      </c>
      <c r="C525" s="373" t="s">
        <v>721</v>
      </c>
      <c r="D525" s="369" t="s">
        <v>1035</v>
      </c>
      <c r="E525" s="368">
        <v>6163066.9400000004</v>
      </c>
    </row>
    <row r="526" spans="1:5">
      <c r="A526" s="373">
        <v>440100</v>
      </c>
      <c r="B526" s="373">
        <v>8100</v>
      </c>
      <c r="C526" s="373" t="s">
        <v>725</v>
      </c>
      <c r="D526" s="369" t="s">
        <v>1035</v>
      </c>
      <c r="E526" s="368">
        <v>5831099.0599999996</v>
      </c>
    </row>
    <row r="527" spans="1:5">
      <c r="A527" s="373">
        <v>440110</v>
      </c>
      <c r="B527" s="373">
        <v>8000</v>
      </c>
      <c r="C527" s="373" t="s">
        <v>721</v>
      </c>
      <c r="D527" s="369" t="s">
        <v>1036</v>
      </c>
      <c r="E527" s="368">
        <v>-0.38</v>
      </c>
    </row>
    <row r="528" spans="1:5">
      <c r="A528" s="373">
        <v>440111</v>
      </c>
      <c r="B528" s="373">
        <v>8000</v>
      </c>
      <c r="C528" s="373" t="s">
        <v>721</v>
      </c>
      <c r="D528" s="369" t="s">
        <v>1037</v>
      </c>
      <c r="E528" s="368">
        <v>1734</v>
      </c>
    </row>
    <row r="529" spans="1:10">
      <c r="A529" s="373">
        <v>440170</v>
      </c>
      <c r="B529" s="373">
        <v>8000</v>
      </c>
      <c r="C529" s="373" t="s">
        <v>721</v>
      </c>
      <c r="D529" s="369" t="s">
        <v>1038</v>
      </c>
      <c r="E529" s="368">
        <v>0</v>
      </c>
    </row>
    <row r="530" spans="1:10">
      <c r="A530" s="373">
        <v>443010</v>
      </c>
      <c r="B530" s="373">
        <v>8000</v>
      </c>
      <c r="C530" s="373" t="s">
        <v>721</v>
      </c>
      <c r="D530" s="369" t="s">
        <v>1039</v>
      </c>
      <c r="E530" s="368">
        <v>159890</v>
      </c>
    </row>
    <row r="531" spans="1:10">
      <c r="A531" s="373">
        <v>443030</v>
      </c>
      <c r="B531" s="373">
        <v>8000</v>
      </c>
      <c r="C531" s="373" t="s">
        <v>721</v>
      </c>
      <c r="D531" s="369" t="s">
        <v>1040</v>
      </c>
      <c r="E531" s="368">
        <v>1988171.2</v>
      </c>
    </row>
    <row r="532" spans="1:10">
      <c r="A532" s="373">
        <v>443030</v>
      </c>
      <c r="B532" s="373">
        <v>8100</v>
      </c>
      <c r="C532" s="373" t="s">
        <v>725</v>
      </c>
      <c r="D532" s="369" t="s">
        <v>1040</v>
      </c>
      <c r="E532" s="368">
        <v>906731.46</v>
      </c>
    </row>
    <row r="533" spans="1:10">
      <c r="A533" s="373">
        <v>444010</v>
      </c>
      <c r="B533" s="373">
        <v>8000</v>
      </c>
      <c r="C533" s="373" t="s">
        <v>721</v>
      </c>
      <c r="D533" s="369" t="s">
        <v>1041</v>
      </c>
      <c r="E533" s="368">
        <v>4995660.0199999996</v>
      </c>
    </row>
    <row r="534" spans="1:10">
      <c r="A534" s="373">
        <v>444010</v>
      </c>
      <c r="B534" s="373">
        <v>8100</v>
      </c>
      <c r="C534" s="373" t="s">
        <v>725</v>
      </c>
      <c r="D534" s="369" t="s">
        <v>1041</v>
      </c>
      <c r="E534" s="368">
        <v>35411</v>
      </c>
    </row>
    <row r="535" spans="1:10">
      <c r="A535" s="373">
        <v>447040</v>
      </c>
      <c r="B535" s="373">
        <v>8000</v>
      </c>
      <c r="C535" s="373" t="s">
        <v>721</v>
      </c>
      <c r="D535" s="369" t="s">
        <v>1042</v>
      </c>
      <c r="E535" s="368">
        <v>0</v>
      </c>
      <c r="G535" s="371"/>
      <c r="H535" s="371"/>
      <c r="I535" s="371">
        <v>194191740.40000004</v>
      </c>
      <c r="J535" s="371">
        <v>194229895.80000004</v>
      </c>
    </row>
    <row r="536" spans="1:10">
      <c r="A536" s="373">
        <v>450010</v>
      </c>
      <c r="B536" s="373">
        <v>8000</v>
      </c>
      <c r="C536" s="373" t="s">
        <v>721</v>
      </c>
      <c r="D536" s="369" t="s">
        <v>1043</v>
      </c>
      <c r="E536" s="368">
        <v>915900.87</v>
      </c>
    </row>
    <row r="537" spans="1:10">
      <c r="A537" s="373">
        <v>450010</v>
      </c>
      <c r="B537" s="373">
        <v>8100</v>
      </c>
      <c r="C537" s="373" t="s">
        <v>725</v>
      </c>
      <c r="D537" s="369" t="s">
        <v>1043</v>
      </c>
      <c r="E537" s="368">
        <v>661045.30000000005</v>
      </c>
    </row>
    <row r="538" spans="1:10">
      <c r="A538" s="373">
        <v>450020</v>
      </c>
      <c r="B538" s="373">
        <v>8000</v>
      </c>
      <c r="C538" s="373" t="s">
        <v>721</v>
      </c>
      <c r="D538" s="369" t="s">
        <v>1044</v>
      </c>
      <c r="E538" s="368">
        <v>7283537.1699999999</v>
      </c>
    </row>
    <row r="539" spans="1:10">
      <c r="A539" s="373">
        <v>450020</v>
      </c>
      <c r="B539" s="373">
        <v>8100</v>
      </c>
      <c r="C539" s="373" t="s">
        <v>725</v>
      </c>
      <c r="D539" s="369" t="s">
        <v>1044</v>
      </c>
      <c r="E539" s="368">
        <v>1320937.0900000001</v>
      </c>
    </row>
    <row r="540" spans="1:10">
      <c r="A540" s="373">
        <v>450030</v>
      </c>
      <c r="B540" s="373">
        <v>8000</v>
      </c>
      <c r="C540" s="373" t="s">
        <v>721</v>
      </c>
      <c r="D540" s="369" t="s">
        <v>1045</v>
      </c>
      <c r="E540" s="368">
        <v>357.56</v>
      </c>
    </row>
    <row r="541" spans="1:10">
      <c r="A541" s="373">
        <v>450030</v>
      </c>
      <c r="B541" s="373">
        <v>8100</v>
      </c>
      <c r="C541" s="373" t="s">
        <v>725</v>
      </c>
      <c r="D541" s="369" t="s">
        <v>1045</v>
      </c>
      <c r="E541" s="368">
        <v>3384.27</v>
      </c>
    </row>
    <row r="542" spans="1:10">
      <c r="A542" s="373">
        <v>450040</v>
      </c>
      <c r="B542" s="373">
        <v>8000</v>
      </c>
      <c r="C542" s="373" t="s">
        <v>721</v>
      </c>
      <c r="D542" s="369" t="s">
        <v>1046</v>
      </c>
      <c r="E542" s="368">
        <v>17651.009999999998</v>
      </c>
    </row>
    <row r="543" spans="1:10">
      <c r="A543" s="373">
        <v>450040</v>
      </c>
      <c r="B543" s="373">
        <v>8100</v>
      </c>
      <c r="C543" s="373" t="s">
        <v>725</v>
      </c>
      <c r="D543" s="369" t="s">
        <v>1046</v>
      </c>
      <c r="E543" s="368">
        <v>46120.68</v>
      </c>
    </row>
    <row r="544" spans="1:10">
      <c r="A544" s="373">
        <v>450050</v>
      </c>
      <c r="B544" s="373">
        <v>8000</v>
      </c>
      <c r="C544" s="373" t="s">
        <v>721</v>
      </c>
      <c r="D544" s="369" t="s">
        <v>1047</v>
      </c>
      <c r="E544" s="368">
        <v>73149.11</v>
      </c>
    </row>
    <row r="545" spans="1:5">
      <c r="A545" s="373">
        <v>450060</v>
      </c>
      <c r="B545" s="373">
        <v>8000</v>
      </c>
      <c r="C545" s="373" t="s">
        <v>721</v>
      </c>
      <c r="D545" s="369" t="s">
        <v>1048</v>
      </c>
      <c r="E545" s="368">
        <v>64947.86</v>
      </c>
    </row>
    <row r="546" spans="1:5">
      <c r="A546" s="373">
        <v>450070</v>
      </c>
      <c r="B546" s="373">
        <v>8000</v>
      </c>
      <c r="C546" s="373" t="s">
        <v>721</v>
      </c>
      <c r="D546" s="369" t="s">
        <v>1049</v>
      </c>
      <c r="E546" s="368">
        <v>224.23</v>
      </c>
    </row>
    <row r="547" spans="1:5">
      <c r="A547" s="373">
        <v>450070</v>
      </c>
      <c r="B547" s="373">
        <v>8100</v>
      </c>
      <c r="C547" s="373" t="s">
        <v>725</v>
      </c>
      <c r="D547" s="369" t="s">
        <v>1049</v>
      </c>
      <c r="E547" s="368">
        <v>265466.78999999998</v>
      </c>
    </row>
    <row r="548" spans="1:5">
      <c r="A548" s="373">
        <v>450080</v>
      </c>
      <c r="B548" s="373">
        <v>8000</v>
      </c>
      <c r="C548" s="373" t="s">
        <v>721</v>
      </c>
      <c r="D548" s="369" t="s">
        <v>1050</v>
      </c>
      <c r="E548" s="368">
        <v>9172287.0999999996</v>
      </c>
    </row>
    <row r="549" spans="1:5">
      <c r="A549" s="373">
        <v>450080</v>
      </c>
      <c r="B549" s="373">
        <v>8100</v>
      </c>
      <c r="C549" s="373" t="s">
        <v>725</v>
      </c>
      <c r="D549" s="369" t="s">
        <v>1050</v>
      </c>
      <c r="E549" s="368">
        <v>141682.32999999999</v>
      </c>
    </row>
    <row r="550" spans="1:5">
      <c r="A550" s="373">
        <v>450140</v>
      </c>
      <c r="B550" s="373">
        <v>8000</v>
      </c>
      <c r="C550" s="373" t="s">
        <v>721</v>
      </c>
      <c r="D550" s="369" t="s">
        <v>1051</v>
      </c>
      <c r="E550" s="368">
        <v>0</v>
      </c>
    </row>
    <row r="551" spans="1:5">
      <c r="A551" s="373">
        <v>450170</v>
      </c>
      <c r="B551" s="373">
        <v>8000</v>
      </c>
      <c r="C551" s="373" t="s">
        <v>721</v>
      </c>
      <c r="D551" s="369" t="s">
        <v>1052</v>
      </c>
      <c r="E551" s="368">
        <v>6759.85</v>
      </c>
    </row>
    <row r="552" spans="1:5">
      <c r="A552" s="373">
        <v>450190</v>
      </c>
      <c r="B552" s="373">
        <v>8000</v>
      </c>
      <c r="C552" s="373" t="s">
        <v>721</v>
      </c>
      <c r="D552" s="369" t="s">
        <v>1053</v>
      </c>
      <c r="E552" s="368">
        <v>5026084.29</v>
      </c>
    </row>
    <row r="553" spans="1:5">
      <c r="A553" s="373">
        <v>450190</v>
      </c>
      <c r="B553" s="373">
        <v>8100</v>
      </c>
      <c r="C553" s="373" t="s">
        <v>725</v>
      </c>
      <c r="D553" s="369" t="s">
        <v>1053</v>
      </c>
      <c r="E553" s="368">
        <v>968476.54</v>
      </c>
    </row>
    <row r="554" spans="1:5">
      <c r="A554" s="373">
        <v>453010</v>
      </c>
      <c r="B554" s="373">
        <v>8000</v>
      </c>
      <c r="C554" s="373" t="s">
        <v>721</v>
      </c>
      <c r="D554" s="369" t="s">
        <v>1054</v>
      </c>
      <c r="E554" s="368">
        <v>8418823.7100000009</v>
      </c>
    </row>
    <row r="555" spans="1:5">
      <c r="A555" s="373">
        <v>472080</v>
      </c>
      <c r="B555" s="373">
        <v>8000</v>
      </c>
      <c r="C555" s="373" t="s">
        <v>721</v>
      </c>
      <c r="D555" s="369" t="s">
        <v>1055</v>
      </c>
      <c r="E555" s="368">
        <v>530431</v>
      </c>
    </row>
    <row r="556" spans="1:5">
      <c r="A556" s="373">
        <v>473010</v>
      </c>
      <c r="B556" s="373">
        <v>8000</v>
      </c>
      <c r="C556" s="373" t="s">
        <v>721</v>
      </c>
      <c r="D556" s="369" t="s">
        <v>202</v>
      </c>
      <c r="E556" s="368">
        <v>37624.400000000001</v>
      </c>
    </row>
    <row r="557" spans="1:5">
      <c r="A557" s="373">
        <v>473010</v>
      </c>
      <c r="B557" s="373">
        <v>8100</v>
      </c>
      <c r="C557" s="373" t="s">
        <v>725</v>
      </c>
      <c r="D557" s="369" t="s">
        <v>202</v>
      </c>
      <c r="E557" s="368">
        <v>531</v>
      </c>
    </row>
    <row r="558" spans="1:5">
      <c r="A558" s="373">
        <v>474030</v>
      </c>
      <c r="B558" s="373">
        <v>8000</v>
      </c>
      <c r="C558" s="373" t="s">
        <v>721</v>
      </c>
      <c r="D558" s="369" t="s">
        <v>1056</v>
      </c>
      <c r="E558" s="368">
        <v>0</v>
      </c>
    </row>
    <row r="559" spans="1:5">
      <c r="A559" s="373">
        <v>475110</v>
      </c>
      <c r="B559" s="373">
        <v>8000</v>
      </c>
      <c r="C559" s="373" t="s">
        <v>721</v>
      </c>
      <c r="D559" s="369" t="s">
        <v>1057</v>
      </c>
      <c r="E559" s="368">
        <v>-1775200.22</v>
      </c>
    </row>
    <row r="560" spans="1:5">
      <c r="A560" s="373">
        <v>475110</v>
      </c>
      <c r="B560" s="373">
        <v>8100</v>
      </c>
      <c r="C560" s="373" t="s">
        <v>725</v>
      </c>
      <c r="D560" s="369" t="s">
        <v>1057</v>
      </c>
      <c r="E560" s="368">
        <v>-484614.01</v>
      </c>
    </row>
    <row r="561" spans="1:11">
      <c r="A561" s="373">
        <v>475181</v>
      </c>
      <c r="B561" s="373">
        <v>8100</v>
      </c>
      <c r="C561" s="373" t="s">
        <v>725</v>
      </c>
      <c r="D561" s="369" t="s">
        <v>1058</v>
      </c>
      <c r="E561" s="368">
        <v>0</v>
      </c>
    </row>
    <row r="562" spans="1:11">
      <c r="A562" s="373">
        <v>475192</v>
      </c>
      <c r="B562" s="373">
        <v>8000</v>
      </c>
      <c r="C562" s="373" t="s">
        <v>721</v>
      </c>
      <c r="D562" s="369" t="s">
        <v>1059</v>
      </c>
      <c r="E562" s="368">
        <v>496579</v>
      </c>
    </row>
    <row r="563" spans="1:11">
      <c r="A563" s="373">
        <v>476030</v>
      </c>
      <c r="B563" s="373">
        <v>8000</v>
      </c>
      <c r="C563" s="373" t="s">
        <v>721</v>
      </c>
      <c r="D563" s="369" t="s">
        <v>1060</v>
      </c>
      <c r="E563" s="368">
        <v>-334.48</v>
      </c>
    </row>
    <row r="564" spans="1:11">
      <c r="A564" s="373">
        <v>476030</v>
      </c>
      <c r="B564" s="373">
        <v>8100</v>
      </c>
      <c r="C564" s="373" t="s">
        <v>725</v>
      </c>
      <c r="D564" s="369" t="s">
        <v>1060</v>
      </c>
      <c r="E564" s="368">
        <v>1.55</v>
      </c>
    </row>
    <row r="565" spans="1:11">
      <c r="A565" s="373">
        <v>500005</v>
      </c>
      <c r="B565" s="373">
        <v>8000</v>
      </c>
      <c r="C565" s="373" t="s">
        <v>721</v>
      </c>
      <c r="D565" s="369" t="s">
        <v>1061</v>
      </c>
      <c r="E565" s="368">
        <v>0</v>
      </c>
    </row>
    <row r="566" spans="1:11">
      <c r="A566" s="373">
        <v>500005</v>
      </c>
      <c r="B566" s="373">
        <v>8100</v>
      </c>
      <c r="C566" s="373" t="s">
        <v>725</v>
      </c>
      <c r="D566" s="369" t="s">
        <v>1061</v>
      </c>
      <c r="E566" s="368">
        <v>0</v>
      </c>
    </row>
    <row r="567" spans="1:11">
      <c r="A567" s="373">
        <v>500022</v>
      </c>
      <c r="B567" s="373">
        <v>8000</v>
      </c>
      <c r="C567" s="373" t="s">
        <v>721</v>
      </c>
      <c r="D567" s="369" t="s">
        <v>1062</v>
      </c>
      <c r="E567" s="368">
        <v>0</v>
      </c>
    </row>
    <row r="568" spans="1:11">
      <c r="A568" s="373">
        <v>500022</v>
      </c>
      <c r="B568" s="373">
        <v>8100</v>
      </c>
      <c r="C568" s="373" t="s">
        <v>725</v>
      </c>
      <c r="D568" s="369" t="s">
        <v>1062</v>
      </c>
      <c r="E568" s="368">
        <v>0</v>
      </c>
    </row>
    <row r="570" spans="1:11">
      <c r="E570" s="367">
        <f>SUM(E4:E568)</f>
        <v>1.2458115634661482E-6</v>
      </c>
    </row>
    <row r="575" spans="1:11">
      <c r="A575" s="390" t="s">
        <v>1073</v>
      </c>
      <c r="B575" s="390" t="s">
        <v>1074</v>
      </c>
      <c r="C575" s="390" t="s">
        <v>1075</v>
      </c>
      <c r="D575" s="390" t="s">
        <v>1076</v>
      </c>
      <c r="E575" s="390" t="s">
        <v>1077</v>
      </c>
      <c r="F575" s="390" t="s">
        <v>1078</v>
      </c>
      <c r="G575" s="390" t="s">
        <v>1079</v>
      </c>
      <c r="H575" s="390" t="s">
        <v>4</v>
      </c>
    </row>
    <row r="576" spans="1:11">
      <c r="A576" s="394">
        <v>440010</v>
      </c>
      <c r="B576" s="385" t="s">
        <v>1080</v>
      </c>
      <c r="C576" s="385">
        <v>100102919</v>
      </c>
      <c r="D576" s="384">
        <v>44790</v>
      </c>
      <c r="E576" s="384">
        <v>44790</v>
      </c>
      <c r="F576" s="396">
        <v>8530154</v>
      </c>
      <c r="G576" s="385" t="s">
        <v>1081</v>
      </c>
      <c r="H576" s="385" t="s">
        <v>1082</v>
      </c>
      <c r="J576" s="378" t="s">
        <v>1188</v>
      </c>
      <c r="K576" s="378" t="s">
        <v>1240</v>
      </c>
    </row>
    <row r="577" spans="1:11">
      <c r="A577" s="394">
        <v>440010</v>
      </c>
      <c r="B577" s="385" t="s">
        <v>1083</v>
      </c>
      <c r="C577" s="385">
        <v>100149252</v>
      </c>
      <c r="D577" s="384">
        <v>44837</v>
      </c>
      <c r="E577" s="384">
        <v>44837</v>
      </c>
      <c r="F577" s="396">
        <v>17673933</v>
      </c>
      <c r="G577" s="385" t="s">
        <v>1084</v>
      </c>
      <c r="H577" s="385" t="s">
        <v>1085</v>
      </c>
      <c r="J577" s="378" t="s">
        <v>1188</v>
      </c>
    </row>
    <row r="578" spans="1:11">
      <c r="A578" s="394">
        <v>440010</v>
      </c>
      <c r="B578" s="385" t="s">
        <v>1086</v>
      </c>
      <c r="C578" s="385">
        <v>100168452</v>
      </c>
      <c r="D578" s="384">
        <v>44869</v>
      </c>
      <c r="E578" s="384">
        <v>44869</v>
      </c>
      <c r="F578" s="396">
        <v>822632</v>
      </c>
      <c r="G578" s="385" t="s">
        <v>1087</v>
      </c>
      <c r="H578" s="385" t="s">
        <v>1088</v>
      </c>
      <c r="J578" s="378" t="s">
        <v>1188</v>
      </c>
      <c r="K578" s="378" t="s">
        <v>1189</v>
      </c>
    </row>
    <row r="579" spans="1:11">
      <c r="A579" s="394">
        <v>440010</v>
      </c>
      <c r="B579" s="385" t="s">
        <v>1089</v>
      </c>
      <c r="C579" s="385">
        <v>100191498</v>
      </c>
      <c r="D579" s="384">
        <v>44907</v>
      </c>
      <c r="E579" s="384">
        <v>44907</v>
      </c>
      <c r="F579" s="396">
        <v>5549112</v>
      </c>
      <c r="G579" s="385" t="s">
        <v>1090</v>
      </c>
      <c r="H579" s="385" t="s">
        <v>1091</v>
      </c>
      <c r="J579" s="378" t="s">
        <v>1188</v>
      </c>
    </row>
    <row r="580" spans="1:11">
      <c r="A580" s="394">
        <v>440010</v>
      </c>
      <c r="B580" s="385" t="s">
        <v>1089</v>
      </c>
      <c r="C580" s="385">
        <v>100191502</v>
      </c>
      <c r="D580" s="384">
        <v>44907</v>
      </c>
      <c r="E580" s="384">
        <v>44907</v>
      </c>
      <c r="F580" s="396">
        <v>5653456</v>
      </c>
      <c r="G580" s="385" t="s">
        <v>1092</v>
      </c>
      <c r="H580" s="385" t="s">
        <v>1093</v>
      </c>
      <c r="J580" s="378" t="s">
        <v>1188</v>
      </c>
    </row>
    <row r="581" spans="1:11">
      <c r="A581" s="394">
        <v>440010</v>
      </c>
      <c r="B581" s="385" t="s">
        <v>1086</v>
      </c>
      <c r="C581" s="385">
        <v>100213801</v>
      </c>
      <c r="D581" s="384">
        <v>44936</v>
      </c>
      <c r="E581" s="384">
        <v>44936</v>
      </c>
      <c r="F581" s="396">
        <v>5541232</v>
      </c>
      <c r="G581" s="385" t="s">
        <v>1094</v>
      </c>
      <c r="H581" s="385" t="s">
        <v>1095</v>
      </c>
      <c r="J581" s="378" t="s">
        <v>1188</v>
      </c>
    </row>
    <row r="582" spans="1:11">
      <c r="A582" s="394">
        <v>440010</v>
      </c>
      <c r="B582" s="385" t="s">
        <v>1096</v>
      </c>
      <c r="C582" s="385">
        <v>100234383</v>
      </c>
      <c r="D582" s="384">
        <v>44958</v>
      </c>
      <c r="E582" s="384">
        <v>44958</v>
      </c>
      <c r="F582" s="396">
        <v>5570908</v>
      </c>
      <c r="G582" s="385" t="s">
        <v>1097</v>
      </c>
      <c r="H582" s="385" t="s">
        <v>1098</v>
      </c>
      <c r="J582" s="378" t="s">
        <v>1188</v>
      </c>
    </row>
    <row r="583" spans="1:11">
      <c r="A583" s="394">
        <v>440010</v>
      </c>
      <c r="B583" s="385" t="s">
        <v>1099</v>
      </c>
      <c r="C583" s="385">
        <v>100234384</v>
      </c>
      <c r="D583" s="384">
        <v>44958</v>
      </c>
      <c r="E583" s="384">
        <v>44958</v>
      </c>
      <c r="F583" s="396">
        <v>2079113</v>
      </c>
      <c r="G583" s="385" t="s">
        <v>1100</v>
      </c>
      <c r="H583" s="385" t="s">
        <v>1101</v>
      </c>
      <c r="J583" s="378" t="s">
        <v>1188</v>
      </c>
    </row>
    <row r="584" spans="1:11">
      <c r="A584" s="394">
        <v>440010</v>
      </c>
      <c r="B584" s="385" t="s">
        <v>1102</v>
      </c>
      <c r="C584" s="385">
        <v>100235069</v>
      </c>
      <c r="D584" s="384">
        <v>44960</v>
      </c>
      <c r="E584" s="384">
        <v>44960</v>
      </c>
      <c r="F584" s="396">
        <v>1099836</v>
      </c>
      <c r="G584" s="385" t="s">
        <v>1103</v>
      </c>
      <c r="H584" s="385" t="s">
        <v>1104</v>
      </c>
      <c r="J584" s="378" t="s">
        <v>1188</v>
      </c>
      <c r="K584" s="378" t="s">
        <v>1190</v>
      </c>
    </row>
    <row r="585" spans="1:11">
      <c r="A585" s="394">
        <v>440010</v>
      </c>
      <c r="B585" s="385" t="s">
        <v>1105</v>
      </c>
      <c r="C585" s="385">
        <v>100272559</v>
      </c>
      <c r="D585" s="384">
        <v>45000</v>
      </c>
      <c r="E585" s="384">
        <v>45000</v>
      </c>
      <c r="F585" s="396">
        <v>5567140</v>
      </c>
      <c r="G585" s="385" t="s">
        <v>1106</v>
      </c>
      <c r="H585" s="385" t="s">
        <v>1107</v>
      </c>
      <c r="J585" s="378" t="s">
        <v>1188</v>
      </c>
    </row>
    <row r="586" spans="1:11">
      <c r="A586" s="394">
        <v>440010</v>
      </c>
      <c r="B586" s="385" t="s">
        <v>1108</v>
      </c>
      <c r="C586" s="385">
        <v>100303556</v>
      </c>
      <c r="D586" s="384">
        <v>45016</v>
      </c>
      <c r="E586" s="384">
        <v>45016</v>
      </c>
      <c r="F586" s="396">
        <v>5510273</v>
      </c>
      <c r="G586" s="385" t="s">
        <v>1109</v>
      </c>
      <c r="H586" s="385" t="s">
        <v>1110</v>
      </c>
      <c r="J586" s="378" t="s">
        <v>1188</v>
      </c>
    </row>
    <row r="587" spans="1:11">
      <c r="A587" s="394">
        <v>440010</v>
      </c>
      <c r="B587" s="385" t="s">
        <v>1111</v>
      </c>
      <c r="C587" s="385">
        <v>100306044</v>
      </c>
      <c r="D587" s="384">
        <v>45016</v>
      </c>
      <c r="E587" s="384">
        <v>45016</v>
      </c>
      <c r="F587" s="396">
        <v>5513611</v>
      </c>
      <c r="G587" s="385" t="s">
        <v>1112</v>
      </c>
      <c r="H587" s="385" t="s">
        <v>1111</v>
      </c>
      <c r="J587" s="378" t="s">
        <v>1188</v>
      </c>
    </row>
    <row r="588" spans="1:11">
      <c r="A588" s="394">
        <v>440010</v>
      </c>
      <c r="B588" s="385" t="s">
        <v>1111</v>
      </c>
      <c r="C588" s="385">
        <v>100306044</v>
      </c>
      <c r="D588" s="384">
        <v>45016</v>
      </c>
      <c r="E588" s="384">
        <v>45016</v>
      </c>
      <c r="F588" s="396">
        <v>13803665</v>
      </c>
      <c r="G588" s="385" t="s">
        <v>1113</v>
      </c>
      <c r="H588" s="385" t="s">
        <v>1111</v>
      </c>
      <c r="J588" s="378" t="s">
        <v>1188</v>
      </c>
    </row>
    <row r="589" spans="1:11">
      <c r="A589" s="389"/>
      <c r="B589" s="389"/>
      <c r="C589" s="389"/>
      <c r="D589" s="381"/>
      <c r="E589" s="381"/>
      <c r="F589" s="408">
        <v>82915065</v>
      </c>
      <c r="G589" s="389"/>
      <c r="H589" s="389"/>
    </row>
  </sheetData>
  <pageMargins left="0.7" right="0.7" top="0.75" bottom="0.75" header="0.3" footer="0.3"/>
  <pageSetup scale="65"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39</vt:i4>
      </vt:variant>
    </vt:vector>
  </HeadingPairs>
  <TitlesOfParts>
    <vt:vector size="75" baseType="lpstr">
      <vt:lpstr>Index</vt:lpstr>
      <vt:lpstr>F1 </vt:lpstr>
      <vt:lpstr>F2</vt:lpstr>
      <vt:lpstr>F2.1</vt:lpstr>
      <vt:lpstr>F2.2</vt:lpstr>
      <vt:lpstr>F2.3</vt:lpstr>
      <vt:lpstr>F2.4</vt:lpstr>
      <vt:lpstr>F 2A</vt:lpstr>
      <vt:lpstr>TB22-23</vt:lpstr>
      <vt:lpstr>TB23-24</vt:lpstr>
      <vt:lpstr>TB24-25_sept24</vt:lpstr>
      <vt:lpstr>F3</vt:lpstr>
      <vt:lpstr>F3.1</vt:lpstr>
      <vt:lpstr>F3.2</vt:lpstr>
      <vt:lpstr>F3.3</vt:lpstr>
      <vt:lpstr>F4</vt:lpstr>
      <vt:lpstr>F4.1 (E) Existing</vt:lpstr>
      <vt:lpstr>F4.1 (N) New</vt:lpstr>
      <vt:lpstr>F5</vt:lpstr>
      <vt:lpstr>F7</vt:lpstr>
      <vt:lpstr>F8</vt:lpstr>
      <vt:lpstr>F9</vt:lpstr>
      <vt:lpstr>F10</vt:lpstr>
      <vt:lpstr>F11</vt:lpstr>
      <vt:lpstr>F12</vt:lpstr>
      <vt:lpstr>F13</vt:lpstr>
      <vt:lpstr>F14</vt:lpstr>
      <vt:lpstr>F15</vt:lpstr>
      <vt:lpstr>F16</vt:lpstr>
      <vt:lpstr>F17</vt:lpstr>
      <vt:lpstr>F18</vt:lpstr>
      <vt:lpstr>F18.1</vt:lpstr>
      <vt:lpstr>F18.2</vt:lpstr>
      <vt:lpstr>F18.3</vt:lpstr>
      <vt:lpstr>F18.4</vt:lpstr>
      <vt:lpstr>F6</vt:lpstr>
      <vt:lpstr>'F 2A'!Print_Area</vt:lpstr>
      <vt:lpstr>'F1 '!Print_Area</vt:lpstr>
      <vt:lpstr>'F10'!Print_Area</vt:lpstr>
      <vt:lpstr>'F11'!Print_Area</vt:lpstr>
      <vt:lpstr>'F12'!Print_Area</vt:lpstr>
      <vt:lpstr>'F13'!Print_Area</vt:lpstr>
      <vt:lpstr>'F14'!Print_Area</vt:lpstr>
      <vt:lpstr>'F15'!Print_Area</vt:lpstr>
      <vt:lpstr>'F16'!Print_Area</vt:lpstr>
      <vt:lpstr>'F17'!Print_Area</vt:lpstr>
      <vt:lpstr>'F18'!Print_Area</vt:lpstr>
      <vt:lpstr>'F2'!Print_Area</vt:lpstr>
      <vt:lpstr>F2.1!Print_Area</vt:lpstr>
      <vt:lpstr>F2.2!Print_Area</vt:lpstr>
      <vt:lpstr>F2.3!Print_Area</vt:lpstr>
      <vt:lpstr>F2.4!Print_Area</vt:lpstr>
      <vt:lpstr>'F3'!Print_Area</vt:lpstr>
      <vt:lpstr>F3.1!Print_Area</vt:lpstr>
      <vt:lpstr>F3.2!Print_Area</vt:lpstr>
      <vt:lpstr>F3.3!Print_Area</vt:lpstr>
      <vt:lpstr>'F4'!Print_Area</vt:lpstr>
      <vt:lpstr>'F4.1 (E) Existing'!Print_Area</vt:lpstr>
      <vt:lpstr>'F4.1 (N) New'!Print_Area</vt:lpstr>
      <vt:lpstr>'F5'!Print_Area</vt:lpstr>
      <vt:lpstr>'F6'!Print_Area</vt:lpstr>
      <vt:lpstr>'F7'!Print_Area</vt:lpstr>
      <vt:lpstr>'F8'!Print_Area</vt:lpstr>
      <vt:lpstr>'F9'!Print_Area</vt:lpstr>
      <vt:lpstr>Index!Print_Area</vt:lpstr>
      <vt:lpstr>'TB22-23'!Print_Area</vt:lpstr>
      <vt:lpstr>'TB23-24'!Print_Area</vt:lpstr>
      <vt:lpstr>'TB24-25_sept24'!Print_Area</vt:lpstr>
      <vt:lpstr>'F16'!Print_Titles</vt:lpstr>
      <vt:lpstr>F2.2!Print_Titles</vt:lpstr>
      <vt:lpstr>F3.1!Print_Titles</vt:lpstr>
      <vt:lpstr>F3.2!Print_Titles</vt:lpstr>
      <vt:lpstr>'F4'!Print_Titles</vt:lpstr>
      <vt:lpstr>'F5'!Print_Titles</vt:lpstr>
      <vt:lpstr>'F6'!Print_Titles</vt:lpstr>
    </vt:vector>
  </TitlesOfParts>
  <Manager/>
  <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Palaniappan M</dc:creator>
  <cp:keywords/>
  <dc:description/>
  <cp:lastModifiedBy>outit</cp:lastModifiedBy>
  <cp:revision/>
  <cp:lastPrinted>2024-12-10T12:09:02Z</cp:lastPrinted>
  <dcterms:created xsi:type="dcterms:W3CDTF">2004-07-28T05:30:50Z</dcterms:created>
  <dcterms:modified xsi:type="dcterms:W3CDTF">2024-12-10T12:16:15Z</dcterms:modified>
  <cp:category/>
  <cp:contentStatus/>
</cp:coreProperties>
</file>